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caldom.net\TI Folders\Projects\P20035~2\INNOBY~1\INNOVA~1\UDVIKL~1\SPIREP~1\TEMATI~1\BEVILL~1\CIRKUL~1\"/>
    </mc:Choice>
  </mc:AlternateContent>
  <xr:revisionPtr revIDLastSave="0" documentId="8_{6A06361A-372D-4103-BAE6-8023BEFCD2D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Sheet1!$A$2:$AC$101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Q6" i="1" s="1"/>
  <c r="AA6" i="1"/>
  <c r="C7" i="1"/>
  <c r="H7" i="1" s="1"/>
  <c r="AA7" i="1"/>
  <c r="AA55" i="1" s="1"/>
  <c r="C8" i="1"/>
  <c r="H8" i="1" s="1"/>
  <c r="Q8" i="1" s="1"/>
  <c r="U8" i="1" s="1"/>
  <c r="V8" i="1" s="1"/>
  <c r="AA8" i="1"/>
  <c r="U9" i="1"/>
  <c r="U10" i="1"/>
  <c r="C11" i="1"/>
  <c r="H11" i="1" s="1"/>
  <c r="Q11" i="1" s="1"/>
  <c r="U11" i="1" s="1"/>
  <c r="V11" i="1" s="1"/>
  <c r="AA11" i="1"/>
  <c r="U12" i="1"/>
  <c r="U13" i="1"/>
  <c r="U14" i="1"/>
  <c r="U15" i="1"/>
  <c r="U16" i="1"/>
  <c r="U17" i="1"/>
  <c r="H18" i="1"/>
  <c r="Q18" i="1" s="1"/>
  <c r="U18" i="1" s="1"/>
  <c r="V18" i="1" s="1"/>
  <c r="AA18" i="1"/>
  <c r="H19" i="1"/>
  <c r="Q19" i="1" s="1"/>
  <c r="U19" i="1" s="1"/>
  <c r="V19" i="1" s="1"/>
  <c r="AA19" i="1"/>
  <c r="H20" i="1"/>
  <c r="Q20" i="1"/>
  <c r="U20" i="1" s="1"/>
  <c r="V20" i="1" s="1"/>
  <c r="AA20" i="1"/>
  <c r="H21" i="1"/>
  <c r="Q21" i="1"/>
  <c r="U21" i="1" s="1"/>
  <c r="V21" i="1" s="1"/>
  <c r="AA21" i="1"/>
  <c r="H22" i="1"/>
  <c r="Q22" i="1" s="1"/>
  <c r="U22" i="1" s="1"/>
  <c r="V22" i="1" s="1"/>
  <c r="AA22" i="1"/>
  <c r="H23" i="1"/>
  <c r="Q23" i="1"/>
  <c r="U23" i="1"/>
  <c r="V23" i="1" s="1"/>
  <c r="AA23" i="1"/>
  <c r="U24" i="1"/>
  <c r="U25" i="1"/>
  <c r="U26" i="1"/>
  <c r="C27" i="1"/>
  <c r="H27" i="1"/>
  <c r="Q27" i="1"/>
  <c r="U27" i="1" s="1"/>
  <c r="V27" i="1" s="1"/>
  <c r="AA27" i="1"/>
  <c r="U28" i="1"/>
  <c r="U29" i="1"/>
  <c r="H30" i="1"/>
  <c r="Q30" i="1"/>
  <c r="U30" i="1"/>
  <c r="V30" i="1" s="1"/>
  <c r="AA30" i="1"/>
  <c r="U31" i="1"/>
  <c r="U32" i="1"/>
  <c r="U33" i="1"/>
  <c r="H34" i="1"/>
  <c r="Q34" i="1"/>
  <c r="U34" i="1"/>
  <c r="V34" i="1" s="1"/>
  <c r="AA34" i="1"/>
  <c r="H35" i="1"/>
  <c r="Q35" i="1"/>
  <c r="U35" i="1"/>
  <c r="V35" i="1" s="1"/>
  <c r="AA35" i="1"/>
  <c r="U36" i="1"/>
  <c r="U37" i="1"/>
  <c r="H38" i="1"/>
  <c r="Q38" i="1" s="1"/>
  <c r="U38" i="1" s="1"/>
  <c r="V38" i="1" s="1"/>
  <c r="AA38" i="1"/>
  <c r="H39" i="1"/>
  <c r="Q39" i="1"/>
  <c r="U39" i="1" s="1"/>
  <c r="V39" i="1" s="1"/>
  <c r="AA39" i="1"/>
  <c r="U40" i="1"/>
  <c r="U41" i="1"/>
  <c r="H42" i="1"/>
  <c r="Q42" i="1"/>
  <c r="U42" i="1"/>
  <c r="V42" i="1" s="1"/>
  <c r="H43" i="1"/>
  <c r="Q43" i="1" s="1"/>
  <c r="U43" i="1" s="1"/>
  <c r="V43" i="1" s="1"/>
  <c r="U44" i="1"/>
  <c r="U45" i="1"/>
  <c r="Q46" i="1"/>
  <c r="U46" i="1" s="1"/>
  <c r="V46" i="1" s="1"/>
  <c r="U47" i="1"/>
  <c r="V47" i="1"/>
  <c r="U48" i="1"/>
  <c r="V48" i="1" s="1"/>
  <c r="U49" i="1"/>
  <c r="V49" i="1"/>
  <c r="H50" i="1"/>
  <c r="Q50" i="1" s="1"/>
  <c r="U50" i="1" s="1"/>
  <c r="V50" i="1" s="1"/>
  <c r="AA50" i="1"/>
  <c r="H59" i="1"/>
  <c r="Q59" i="1" s="1"/>
  <c r="AA59" i="1"/>
  <c r="AA101" i="1" s="1"/>
  <c r="U60" i="1"/>
  <c r="U61" i="1"/>
  <c r="U62" i="1"/>
  <c r="U63" i="1"/>
  <c r="U64" i="1"/>
  <c r="H65" i="1"/>
  <c r="Q65" i="1"/>
  <c r="U65" i="1"/>
  <c r="AA65" i="1"/>
  <c r="H66" i="1"/>
  <c r="Q66" i="1"/>
  <c r="U66" i="1" s="1"/>
  <c r="AA66" i="1"/>
  <c r="U67" i="1"/>
  <c r="U68" i="1"/>
  <c r="U69" i="1"/>
  <c r="U70" i="1"/>
  <c r="U71" i="1"/>
  <c r="U72" i="1"/>
  <c r="H73" i="1"/>
  <c r="Q73" i="1" s="1"/>
  <c r="U73" i="1" s="1"/>
  <c r="AA73" i="1"/>
  <c r="H74" i="1"/>
  <c r="Q74" i="1" s="1"/>
  <c r="U74" i="1" s="1"/>
  <c r="AA74" i="1"/>
  <c r="H75" i="1"/>
  <c r="Q75" i="1" s="1"/>
  <c r="U75" i="1" s="1"/>
  <c r="AA75" i="1"/>
  <c r="H76" i="1"/>
  <c r="Q76" i="1" s="1"/>
  <c r="U76" i="1" s="1"/>
  <c r="AA76" i="1"/>
  <c r="H77" i="1"/>
  <c r="Q77" i="1" s="1"/>
  <c r="U77" i="1" s="1"/>
  <c r="AA77" i="1"/>
  <c r="H78" i="1"/>
  <c r="Q78" i="1" s="1"/>
  <c r="U78" i="1" s="1"/>
  <c r="AA78" i="1"/>
  <c r="Q101" i="1" l="1"/>
  <c r="U59" i="1"/>
  <c r="U101" i="1" s="1"/>
  <c r="H53" i="1"/>
  <c r="Q7" i="1"/>
  <c r="U7" i="1" s="1"/>
  <c r="V7" i="1" s="1"/>
  <c r="U6" i="1"/>
  <c r="H101" i="1"/>
  <c r="U53" i="1" l="1"/>
  <c r="V6" i="1"/>
  <c r="Q53" i="1"/>
</calcChain>
</file>

<file path=xl/sharedStrings.xml><?xml version="1.0" encoding="utf-8"?>
<sst xmlns="http://schemas.openxmlformats.org/spreadsheetml/2006/main" count="392" uniqueCount="156">
  <si>
    <t>Tagkonstruktion (tagdækning, tagkonstruktion, isolering, tagrender, inddækning m.m.)</t>
  </si>
  <si>
    <t>Facader</t>
  </si>
  <si>
    <t>Fundament og terrændæk</t>
  </si>
  <si>
    <t>Vinduer og døre</t>
  </si>
  <si>
    <t>Lofter og etageadskillelse</t>
  </si>
  <si>
    <t>Indvendige vægge</t>
  </si>
  <si>
    <t>Gulv</t>
  </si>
  <si>
    <t>Installationer</t>
  </si>
  <si>
    <t>Inventar og løsøre</t>
  </si>
  <si>
    <t xml:space="preserve">Materiale </t>
  </si>
  <si>
    <t>Mængde/Antal (Dimensioner) i alt</t>
  </si>
  <si>
    <t>Spildprocent</t>
  </si>
  <si>
    <t>Afskrivning på udstyr (ekstra)</t>
  </si>
  <si>
    <t>Nedtagning til genbrug</t>
  </si>
  <si>
    <t>Potentiale for optimering af metode</t>
  </si>
  <si>
    <t>Vurderet økonomi</t>
  </si>
  <si>
    <t>(afskrivning på udstyr + mandetimer*timepris)/(mængde*(1-spildprocent))</t>
  </si>
  <si>
    <t>Bevaringsværdighed</t>
  </si>
  <si>
    <t>Vurderet potentiale</t>
  </si>
  <si>
    <t>(lille-mellem-stor)</t>
  </si>
  <si>
    <t>hulmur, kalkmørtel</t>
  </si>
  <si>
    <t>Afsætningskanal (projekt, genbrugsforhandler)</t>
  </si>
  <si>
    <t>Udfordring ved brug af metode (tekniske forhold - arbejdsmiljø(tung, den støjer, støv, risiko for fald mm)</t>
  </si>
  <si>
    <t>Fra ressourcekortlægning</t>
  </si>
  <si>
    <t>Vurdering</t>
  </si>
  <si>
    <t>Samlet med søm</t>
  </si>
  <si>
    <t>beton (Udgår)</t>
  </si>
  <si>
    <t>Tidsforbrug</t>
  </si>
  <si>
    <t>mekanisering. Design af sliskesystem</t>
  </si>
  <si>
    <t>Beskrivelse af metode</t>
  </si>
  <si>
    <t>Tekst/vurdering</t>
  </si>
  <si>
    <t>Økonomi</t>
  </si>
  <si>
    <t>Enhed</t>
  </si>
  <si>
    <t>Lbm</t>
  </si>
  <si>
    <t>stk</t>
  </si>
  <si>
    <t>Normal procedure</t>
  </si>
  <si>
    <t>Økonomisk vurdering af materialer til genbrug</t>
  </si>
  <si>
    <t>Materialeatlas (Genbrug)</t>
  </si>
  <si>
    <t>Karakteristik ift nedrivning</t>
  </si>
  <si>
    <t>Ekstra udstyr</t>
  </si>
  <si>
    <t>Besværlighedsfaktor</t>
  </si>
  <si>
    <t>Nedrivning</t>
  </si>
  <si>
    <t>Attraktion på markedet/markedspriser</t>
  </si>
  <si>
    <t>Gule teglsten</t>
  </si>
  <si>
    <t xml:space="preserve"> </t>
  </si>
  <si>
    <t>Understrygning kalk</t>
  </si>
  <si>
    <t>m3</t>
  </si>
  <si>
    <t>Kældervindue, metalramme, Termorude</t>
  </si>
  <si>
    <t>Altanvindue + dør</t>
  </si>
  <si>
    <t>Lejlighedsvinduer, plast</t>
  </si>
  <si>
    <t>Ovenlysvinduer</t>
  </si>
  <si>
    <t>9x9 fyrretræsbjælker</t>
  </si>
  <si>
    <t>lbm</t>
  </si>
  <si>
    <t>Bjælke 130x260mm</t>
  </si>
  <si>
    <t>Gulvbrædder 1,1/4 x10 cm larkeret fyrtræ</t>
  </si>
  <si>
    <t>Gulvbrædder 1,1/4 x10 cm bejdset larkeret fyrtræ</t>
  </si>
  <si>
    <t>Hoveddøre</t>
  </si>
  <si>
    <t>indvendige døre</t>
  </si>
  <si>
    <t>Lundevænget</t>
  </si>
  <si>
    <t>Skallerupparken</t>
  </si>
  <si>
    <t>m2</t>
  </si>
  <si>
    <t>Kalkmørtel</t>
  </si>
  <si>
    <t>Køkkenvinduer 1x1m</t>
  </si>
  <si>
    <t>Kammervinduer (1036x1155)</t>
  </si>
  <si>
    <t>Soveværelsesvinder (1036x1055)</t>
  </si>
  <si>
    <t>Badeværelsesvinduer (525x520)</t>
  </si>
  <si>
    <t>aftrækskanal Zink</t>
  </si>
  <si>
    <t>Skillevæg - Bræddevæg i træ 2700x2270 mm</t>
  </si>
  <si>
    <t>Trapper- Trævanger fyrretræ</t>
  </si>
  <si>
    <t>Trinflader</t>
  </si>
  <si>
    <t>gulvbrædder på repos lakeret fyrtræ</t>
  </si>
  <si>
    <t>Balustre stål Ø90</t>
  </si>
  <si>
    <t>Fra 1991 - uden asbest</t>
  </si>
  <si>
    <t>Nænsom nedtagning, på paller. Evt. materialehejs.</t>
  </si>
  <si>
    <t>Paller, materialehejs.</t>
  </si>
  <si>
    <t>%</t>
  </si>
  <si>
    <t>økonomi</t>
  </si>
  <si>
    <t>Skøres i store stykker som muligt</t>
  </si>
  <si>
    <t>Håndtering og kran</t>
  </si>
  <si>
    <t>Gravemaskine</t>
  </si>
  <si>
    <t>Manuelt nedtagning og afrenses og stables på paller</t>
  </si>
  <si>
    <t>Kran og stillads</t>
  </si>
  <si>
    <t>kran og stillads</t>
  </si>
  <si>
    <t>Stillads(pris)</t>
  </si>
  <si>
    <t>Betonelementer 5x0,9m baderum (udgår)</t>
  </si>
  <si>
    <t>Forisgtig håndtering, paller</t>
  </si>
  <si>
    <t>Skæres fri og Kranes</t>
  </si>
  <si>
    <t>Indskudsbrædder (udgår)</t>
  </si>
  <si>
    <t>Indskudsler (udgår)</t>
  </si>
  <si>
    <t xml:space="preserve">Spærfod, foderem, tagrem </t>
  </si>
  <si>
    <t>Gipsplader(udgår)</t>
  </si>
  <si>
    <t>Gravemskine</t>
  </si>
  <si>
    <t>Forsigtgt håndtering, afrensing og stables på paller.</t>
  </si>
  <si>
    <t>Forsigtig nedtagning, udtrækning af søm og stables på paller.</t>
  </si>
  <si>
    <t>Zinkhætte</t>
  </si>
  <si>
    <t>Forsigtig nedtagning</t>
  </si>
  <si>
    <t>Forigtig nedtagning. Hele trapen brugess samlet.</t>
  </si>
  <si>
    <t>Friskæres,lift, kran</t>
  </si>
  <si>
    <t>Renovering</t>
  </si>
  <si>
    <t>Spær (bliver)</t>
  </si>
  <si>
    <t>Forigtig nedtagning, udtagning af søm</t>
  </si>
  <si>
    <t>Tagrem 63x150mm (blive)</t>
  </si>
  <si>
    <t>Eternitplader b6 plader (udgår)</t>
  </si>
  <si>
    <t>Manuelt nedtagning, evt mindre maskine</t>
  </si>
  <si>
    <t>Nænsom nedtagning, afrensning af sten, stables på paller.</t>
  </si>
  <si>
    <t>Betonbjælke over over vinduer (bliver)</t>
  </si>
  <si>
    <t>Dækelement 180mm(bliver)</t>
  </si>
  <si>
    <t>in-situ støbt dæk 230 mm(bliver)</t>
  </si>
  <si>
    <t>Gipsloft pinup (udgår)</t>
  </si>
  <si>
    <t>Betonlement 230 mm Bliver</t>
  </si>
  <si>
    <t>indervæg cementsten (bliver)</t>
  </si>
  <si>
    <t>Forsigtig nedtagning, udtagninge af søm</t>
  </si>
  <si>
    <t>Parketgulv (udgår)</t>
  </si>
  <si>
    <t>Trapper halvsvingstrappe(bliver)</t>
  </si>
  <si>
    <t>Manuelt nedtagning</t>
  </si>
  <si>
    <t>I alt</t>
  </si>
  <si>
    <t>Tidsforbrug og kran</t>
  </si>
  <si>
    <t>Tidsforbug og kran</t>
  </si>
  <si>
    <t>Tidsforbrug, lift, kran</t>
  </si>
  <si>
    <t>Antal (ekstra) procent anvendt på opgaven</t>
  </si>
  <si>
    <t>Pris pr enhed</t>
  </si>
  <si>
    <t>enhed</t>
  </si>
  <si>
    <t>C02 ækvivalenter</t>
  </si>
  <si>
    <t>Kg CO2 ækv.</t>
  </si>
  <si>
    <t>http://epd.nsp01cp.nhosp.no/getfile.php/EPDer/Byggevarer/Heltreprodukter/NEPD-308-179-NO_Strutural-timber--Norwegian-version_no.pdf</t>
  </si>
  <si>
    <t>Pr m3 høvlet træ</t>
  </si>
  <si>
    <t>pr 1 tons mursten</t>
  </si>
  <si>
    <t>http://www.epddanmark.dk/site/images/gallery/md-14004-da/md-14004-da.pdf</t>
  </si>
  <si>
    <t>http://www.oekobaudat.de/OEKOBAU.DAT/datasetdetail/process.xhtml?uuid=eec9c184-852b-47e5-b380-7ae5af203b65&amp;stock=OBD_2017_I&amp;lang=en</t>
  </si>
  <si>
    <t>Pr 1 tons tegl</t>
  </si>
  <si>
    <t>pr altan dør</t>
  </si>
  <si>
    <t>http://epd.nsp01cp.nhosp.no/getfile.php/EPDer/Byggevarer/D%C3%B8rer%20og%20vinduer/NEPD258E_NorDan-Ntech-Balcony-security-door-105-80.pdf</t>
  </si>
  <si>
    <t>http://epd.nsp01cp.nhosp.no/getfile.php/EPDer/Byggevarer/D%C3%B8rer%20og%20vinduer/NEPD-1574-601_Vindu-fastkarm.pdf</t>
  </si>
  <si>
    <t>pr vindue</t>
  </si>
  <si>
    <t>Pr dør</t>
  </si>
  <si>
    <t>http://epd.nsp01cp.nhosp.no/getfile.php/EPDer/Byggevarer/D%C3%B8rer%20og%20vinduer/NEPD-1535-525_Climate-door---interior-door.pdf</t>
  </si>
  <si>
    <t>pr m2</t>
  </si>
  <si>
    <t>http://www.oekobaudat.de/OEKOBAU.DAT/datasetdetail/process.xhtml?uuid=1e86515c-3d07-4c59-8f81-84cc5fe0fca7&amp;stock=OBD_2017_I&amp;lang=de</t>
  </si>
  <si>
    <t>http://epd.nsp01cp.nhosp.no/getfile.php/EPDer/Byggevarer/Heltreprodukter/NEPD-1582-604_Malt-panel_1.pdf</t>
  </si>
  <si>
    <t>Kg Co2 ækv i alt</t>
  </si>
  <si>
    <t>Teglsten (12700 stk)</t>
  </si>
  <si>
    <t>Spærhoved (896 lbm) 5"x5"</t>
  </si>
  <si>
    <t>indvendig teglmur (62284 stk)</t>
  </si>
  <si>
    <t>http://epd.nsp01cp.nhosp.no/getfile.php/EPDer/Byggevarer/D%C3%B8rer%20og%20vinduer/NEPD-387-265-NO_Nordvestvinduet-Ultimo-horisontalhengslet-vindu.pdf</t>
  </si>
  <si>
    <t>http://epd.nsp01cp.nhosp.no/getfile.php/EPDer/Byggevarer/D%C3%B8rer%20og%20vinduer/176_NorDan-NTech-Inward-opening-tilt---turn-w-indow-105-80.pdf</t>
  </si>
  <si>
    <t>pr vinude</t>
  </si>
  <si>
    <t>pr kg stål</t>
  </si>
  <si>
    <t>Mursten, helmuret 290mm (9450)</t>
  </si>
  <si>
    <t>Mursten, helmuret 350mm (7560)</t>
  </si>
  <si>
    <t>taglægter (38*56) (153 m3)</t>
  </si>
  <si>
    <t>kr</t>
  </si>
  <si>
    <t>Altaner stål 315 lbm (5,1 kg/m)</t>
  </si>
  <si>
    <t>Kran</t>
  </si>
  <si>
    <t>Kran og Stillads</t>
  </si>
  <si>
    <t xml:space="preserve">Kran </t>
  </si>
  <si>
    <t>Links til EPD'er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</si>
</sst>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-* #,##0.00\ _k_r_._-;\-* #,##0.00\ _k_r_._-;_-* &quot;-&quot;??\ _k_r_.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9" fontId="0" fillId="0" borderId="1" xfId="0" applyNumberFormat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6" borderId="3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7" borderId="5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0" fillId="8" borderId="6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1" fillId="0" borderId="0" xfId="0" applyFont="1" applyAlignment="1">
      <alignment wrapText="1"/>
    </xf>
    <xf numFmtId="0" fontId="1" fillId="7" borderId="6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2" fillId="9" borderId="3" xfId="0" applyFont="1" applyFill="1" applyBorder="1" applyAlignment="1">
      <alignment wrapText="1"/>
    </xf>
    <xf numFmtId="0" fontId="0" fillId="9" borderId="1" xfId="0" applyFill="1" applyBorder="1" applyAlignment="1">
      <alignment horizontal="center" wrapText="1"/>
    </xf>
    <xf numFmtId="0" fontId="0" fillId="9" borderId="0" xfId="0" applyFill="1" applyAlignment="1">
      <alignment wrapText="1"/>
    </xf>
    <xf numFmtId="43" fontId="0" fillId="0" borderId="1" xfId="1" applyFont="1" applyBorder="1" applyAlignment="1">
      <alignment wrapText="1"/>
    </xf>
    <xf numFmtId="0" fontId="1" fillId="2" borderId="11" xfId="0" applyFont="1" applyFill="1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0" fillId="7" borderId="6" xfId="0" applyNumberFormat="1" applyFill="1" applyBorder="1" applyAlignment="1">
      <alignment horizontal="center" wrapText="1"/>
    </xf>
    <xf numFmtId="2" fontId="1" fillId="2" borderId="1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wrapText="1"/>
    </xf>
    <xf numFmtId="43" fontId="1" fillId="0" borderId="1" xfId="1" applyFont="1" applyBorder="1" applyAlignment="1">
      <alignment wrapText="1"/>
    </xf>
    <xf numFmtId="43" fontId="0" fillId="4" borderId="1" xfId="1" applyFont="1" applyFill="1" applyBorder="1" applyAlignment="1">
      <alignment wrapText="1"/>
    </xf>
    <xf numFmtId="43" fontId="0" fillId="9" borderId="1" xfId="1" applyFont="1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0" fillId="12" borderId="1" xfId="0" applyFill="1" applyBorder="1" applyAlignment="1">
      <alignment wrapText="1"/>
    </xf>
    <xf numFmtId="1" fontId="0" fillId="0" borderId="1" xfId="1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43" fontId="1" fillId="4" borderId="1" xfId="1" applyFont="1" applyFill="1" applyBorder="1" applyAlignment="1">
      <alignment wrapText="1"/>
    </xf>
    <xf numFmtId="43" fontId="0" fillId="0" borderId="0" xfId="1" applyFont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81"/>
  <sheetViews>
    <sheetView tabSelected="1" zoomScale="25" zoomScaleNormal="2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C101" sqref="A2:AC101"/>
    </sheetView>
  </sheetViews>
  <sheetFormatPr defaultColWidth="9.140625" defaultRowHeight="15" x14ac:dyDescent="0.25"/>
  <cols>
    <col min="1" max="1" width="78.42578125" style="1" customWidth="1"/>
    <col min="2" max="2" width="14.140625" style="1" customWidth="1"/>
    <col min="3" max="3" width="32.140625" style="1" bestFit="1" customWidth="1"/>
    <col min="4" max="4" width="11.140625" style="1" customWidth="1"/>
    <col min="5" max="5" width="28.85546875" style="1" customWidth="1"/>
    <col min="6" max="6" width="18.140625" style="1" customWidth="1"/>
    <col min="7" max="8" width="19.42578125" style="1" customWidth="1"/>
    <col min="9" max="9" width="6.140625" style="1" customWidth="1"/>
    <col min="10" max="10" width="19.42578125" style="1" customWidth="1"/>
    <col min="11" max="11" width="14.42578125" style="1" bestFit="1" customWidth="1"/>
    <col min="12" max="12" width="16.42578125" style="1" customWidth="1"/>
    <col min="13" max="13" width="8.140625" style="1" customWidth="1"/>
    <col min="14" max="14" width="10.140625" style="1" customWidth="1"/>
    <col min="15" max="15" width="7" style="1" customWidth="1"/>
    <col min="16" max="16" width="5.28515625" style="1" customWidth="1"/>
    <col min="17" max="17" width="13.42578125" style="33" bestFit="1" customWidth="1"/>
    <col min="18" max="18" width="12.140625" style="1" customWidth="1"/>
    <col min="19" max="19" width="37.42578125" style="1" bestFit="1" customWidth="1"/>
    <col min="20" max="20" width="34" style="1" bestFit="1" customWidth="1"/>
    <col min="21" max="21" width="51.140625" style="1" customWidth="1"/>
    <col min="22" max="22" width="15" style="1" customWidth="1"/>
    <col min="23" max="23" width="19.42578125" style="1" bestFit="1" customWidth="1"/>
    <col min="24" max="27" width="23.42578125" style="1" customWidth="1"/>
    <col min="28" max="28" width="19" style="1" bestFit="1" customWidth="1"/>
    <col min="29" max="29" width="26.85546875" style="1" customWidth="1"/>
    <col min="30" max="16384" width="9.140625" style="1"/>
  </cols>
  <sheetData>
    <row r="1" spans="1:29" ht="15.75" thickBot="1" x14ac:dyDescent="0.3">
      <c r="A1" s="18"/>
      <c r="B1" s="18"/>
    </row>
    <row r="2" spans="1:29" ht="56.45" customHeight="1" thickBot="1" x14ac:dyDescent="0.3">
      <c r="A2" s="12" t="s">
        <v>36</v>
      </c>
      <c r="B2" s="13"/>
      <c r="C2" s="55" t="s">
        <v>23</v>
      </c>
      <c r="D2" s="56"/>
      <c r="E2" s="56"/>
      <c r="F2" s="57"/>
      <c r="G2" s="14"/>
      <c r="H2" s="15"/>
      <c r="I2" s="15"/>
      <c r="J2" s="15"/>
      <c r="K2" s="19" t="s">
        <v>41</v>
      </c>
      <c r="L2" s="15"/>
      <c r="M2" s="15"/>
      <c r="N2" s="15"/>
      <c r="O2" s="15"/>
      <c r="P2" s="15"/>
      <c r="Q2" s="34"/>
      <c r="R2" s="15"/>
      <c r="S2" s="58" t="s">
        <v>24</v>
      </c>
      <c r="T2" s="59"/>
      <c r="U2" s="59"/>
      <c r="V2" s="59"/>
      <c r="W2" s="59"/>
      <c r="X2" s="16"/>
      <c r="Y2" s="16"/>
      <c r="Z2" s="16"/>
      <c r="AA2" s="16"/>
      <c r="AB2" s="17"/>
    </row>
    <row r="3" spans="1:29" ht="60.75" thickBot="1" x14ac:dyDescent="0.3">
      <c r="A3" s="2" t="s">
        <v>9</v>
      </c>
      <c r="B3" s="10" t="s">
        <v>37</v>
      </c>
      <c r="C3" s="60" t="s">
        <v>10</v>
      </c>
      <c r="D3" s="54"/>
      <c r="E3" s="7" t="s">
        <v>38</v>
      </c>
      <c r="F3" s="7" t="s">
        <v>21</v>
      </c>
      <c r="G3" s="53" t="s">
        <v>35</v>
      </c>
      <c r="H3" s="61"/>
      <c r="I3" s="54"/>
      <c r="J3" s="53" t="s">
        <v>13</v>
      </c>
      <c r="K3" s="61"/>
      <c r="L3" s="61"/>
      <c r="M3" s="61"/>
      <c r="N3" s="61"/>
      <c r="O3" s="61"/>
      <c r="P3" s="54"/>
      <c r="Q3" s="35"/>
      <c r="R3" s="31"/>
      <c r="S3" s="8" t="s">
        <v>22</v>
      </c>
      <c r="T3" s="8" t="s">
        <v>14</v>
      </c>
      <c r="U3" s="7" t="s">
        <v>15</v>
      </c>
      <c r="V3" s="7"/>
      <c r="W3" s="7" t="s">
        <v>17</v>
      </c>
      <c r="X3" s="7" t="s">
        <v>42</v>
      </c>
      <c r="Y3" s="53" t="s">
        <v>122</v>
      </c>
      <c r="Z3" s="54"/>
      <c r="AA3" s="31"/>
      <c r="AB3" s="7" t="s">
        <v>18</v>
      </c>
    </row>
    <row r="4" spans="1:29" ht="32.450000000000003" customHeight="1" x14ac:dyDescent="0.25">
      <c r="A4" s="2" t="s">
        <v>58</v>
      </c>
      <c r="B4" s="2"/>
      <c r="C4" s="2"/>
      <c r="D4" s="2" t="s">
        <v>32</v>
      </c>
      <c r="E4" s="2"/>
      <c r="F4" s="2"/>
      <c r="G4" s="2" t="s">
        <v>29</v>
      </c>
      <c r="H4" s="2" t="s">
        <v>31</v>
      </c>
      <c r="I4" s="2" t="s">
        <v>32</v>
      </c>
      <c r="J4" s="2" t="s">
        <v>29</v>
      </c>
      <c r="K4" s="2" t="s">
        <v>39</v>
      </c>
      <c r="L4" s="2" t="s">
        <v>12</v>
      </c>
      <c r="M4" s="2" t="s">
        <v>32</v>
      </c>
      <c r="N4" s="2" t="s">
        <v>119</v>
      </c>
      <c r="O4" s="2" t="s">
        <v>32</v>
      </c>
      <c r="P4" s="2" t="s">
        <v>11</v>
      </c>
      <c r="Q4" s="36" t="s">
        <v>76</v>
      </c>
      <c r="R4" s="2" t="s">
        <v>121</v>
      </c>
      <c r="S4" s="4" t="s">
        <v>40</v>
      </c>
      <c r="T4" s="4"/>
      <c r="U4" s="41" t="s">
        <v>16</v>
      </c>
      <c r="V4" s="6" t="s">
        <v>120</v>
      </c>
      <c r="W4" s="2" t="s">
        <v>30</v>
      </c>
      <c r="X4" s="2"/>
      <c r="Y4" s="2" t="s">
        <v>123</v>
      </c>
      <c r="Z4" s="2" t="s">
        <v>32</v>
      </c>
      <c r="AA4" s="2" t="s">
        <v>139</v>
      </c>
      <c r="AB4" s="2"/>
      <c r="AC4" s="18" t="s">
        <v>155</v>
      </c>
    </row>
    <row r="5" spans="1:29" ht="30" x14ac:dyDescent="0.25">
      <c r="A5" s="5" t="s">
        <v>0</v>
      </c>
      <c r="B5" s="5"/>
      <c r="C5" s="3"/>
      <c r="D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2"/>
      <c r="R5" s="3"/>
      <c r="S5" s="3"/>
      <c r="T5" s="3"/>
      <c r="W5" s="3"/>
      <c r="X5" s="3"/>
      <c r="Y5" s="3"/>
      <c r="Z5" s="3"/>
      <c r="AA5" s="3"/>
      <c r="AB5" s="3" t="s">
        <v>19</v>
      </c>
    </row>
    <row r="6" spans="1:29" ht="27" customHeight="1" x14ac:dyDescent="0.25">
      <c r="A6" s="3" t="s">
        <v>140</v>
      </c>
      <c r="B6" s="40"/>
      <c r="C6" s="11">
        <v>900</v>
      </c>
      <c r="D6" s="11" t="s">
        <v>60</v>
      </c>
      <c r="E6" s="3" t="s">
        <v>45</v>
      </c>
      <c r="F6" s="3"/>
      <c r="G6" s="3" t="s">
        <v>79</v>
      </c>
      <c r="H6" s="47">
        <f>C6*45</f>
        <v>40500</v>
      </c>
      <c r="I6" s="3" t="s">
        <v>150</v>
      </c>
      <c r="J6" s="3" t="s">
        <v>73</v>
      </c>
      <c r="K6" s="3" t="s">
        <v>74</v>
      </c>
      <c r="L6" s="3"/>
      <c r="M6" s="3"/>
      <c r="N6" s="11">
        <v>75</v>
      </c>
      <c r="O6" s="3" t="s">
        <v>75</v>
      </c>
      <c r="P6" s="9">
        <v>0.3</v>
      </c>
      <c r="Q6" s="30">
        <f>H6*1.75</f>
        <v>70875</v>
      </c>
      <c r="R6" s="9" t="s">
        <v>150</v>
      </c>
      <c r="S6" s="3" t="s">
        <v>27</v>
      </c>
      <c r="T6" s="3" t="s">
        <v>28</v>
      </c>
      <c r="U6" s="48">
        <f>Q6-H6</f>
        <v>30375</v>
      </c>
      <c r="V6" s="48">
        <f>U6/C6</f>
        <v>33.75</v>
      </c>
      <c r="W6" s="3"/>
      <c r="X6" s="3"/>
      <c r="Y6" s="3">
        <v>350</v>
      </c>
      <c r="Z6" s="3" t="s">
        <v>129</v>
      </c>
      <c r="AA6" s="30">
        <f>(12700*3.8/1000)*Y6</f>
        <v>16891</v>
      </c>
      <c r="AB6" s="3"/>
      <c r="AC6" s="1" t="s">
        <v>128</v>
      </c>
    </row>
    <row r="7" spans="1:29" ht="18.95" customHeight="1" x14ac:dyDescent="0.25">
      <c r="A7" s="3" t="s">
        <v>141</v>
      </c>
      <c r="B7" s="40"/>
      <c r="C7" s="50">
        <f>(896)/16</f>
        <v>56</v>
      </c>
      <c r="D7" s="11" t="s">
        <v>34</v>
      </c>
      <c r="E7" s="3" t="s">
        <v>25</v>
      </c>
      <c r="F7" s="3"/>
      <c r="G7" s="3" t="s">
        <v>79</v>
      </c>
      <c r="H7" s="47">
        <f>C7*100</f>
        <v>5600</v>
      </c>
      <c r="I7" s="3" t="s">
        <v>150</v>
      </c>
      <c r="J7" s="3" t="s">
        <v>77</v>
      </c>
      <c r="K7" s="3" t="s">
        <v>81</v>
      </c>
      <c r="L7" s="3"/>
      <c r="M7" s="3"/>
      <c r="N7" s="11">
        <v>75</v>
      </c>
      <c r="O7" s="3" t="s">
        <v>75</v>
      </c>
      <c r="P7" s="9">
        <v>0.3</v>
      </c>
      <c r="Q7" s="30">
        <f>H7*1.75+6000</f>
        <v>15800</v>
      </c>
      <c r="R7" s="9" t="s">
        <v>150</v>
      </c>
      <c r="S7" s="3" t="s">
        <v>78</v>
      </c>
      <c r="T7" s="3"/>
      <c r="U7" s="48">
        <f t="shared" ref="U7:U50" si="0">Q7-H7</f>
        <v>10200</v>
      </c>
      <c r="V7" s="48">
        <f t="shared" ref="V7:V50" si="1">U7/C7</f>
        <v>182.14285714285714</v>
      </c>
      <c r="W7" s="3"/>
      <c r="X7" s="3"/>
      <c r="Y7" s="3">
        <v>-607</v>
      </c>
      <c r="Z7" s="3" t="s">
        <v>125</v>
      </c>
      <c r="AA7" s="30">
        <f>15.1*Y7</f>
        <v>-9165.6999999999989</v>
      </c>
      <c r="AB7" s="3"/>
      <c r="AC7" s="1" t="s">
        <v>124</v>
      </c>
    </row>
    <row r="8" spans="1:29" ht="20.100000000000001" customHeight="1" x14ac:dyDescent="0.25">
      <c r="A8" s="3" t="s">
        <v>89</v>
      </c>
      <c r="B8" s="40"/>
      <c r="C8" s="11">
        <f>333+662+134+134</f>
        <v>1263</v>
      </c>
      <c r="D8" s="11" t="s">
        <v>33</v>
      </c>
      <c r="E8" s="3"/>
      <c r="F8" s="3"/>
      <c r="G8" s="3" t="s">
        <v>79</v>
      </c>
      <c r="H8" s="47">
        <f>C8*15</f>
        <v>18945</v>
      </c>
      <c r="I8" s="3" t="s">
        <v>150</v>
      </c>
      <c r="J8" s="3" t="s">
        <v>77</v>
      </c>
      <c r="K8" s="3" t="s">
        <v>82</v>
      </c>
      <c r="L8" s="3"/>
      <c r="M8" s="3"/>
      <c r="N8" s="11">
        <v>75</v>
      </c>
      <c r="O8" s="3" t="s">
        <v>75</v>
      </c>
      <c r="P8" s="9">
        <v>0.5</v>
      </c>
      <c r="Q8" s="30">
        <f>H8*1.75+4000</f>
        <v>37153.75</v>
      </c>
      <c r="R8" s="9" t="s">
        <v>150</v>
      </c>
      <c r="S8" s="3" t="s">
        <v>78</v>
      </c>
      <c r="T8" s="3"/>
      <c r="U8" s="48">
        <f t="shared" si="0"/>
        <v>18208.75</v>
      </c>
      <c r="V8" s="48">
        <f t="shared" si="1"/>
        <v>14.417062549485353</v>
      </c>
      <c r="W8" s="3"/>
      <c r="X8" s="3"/>
      <c r="Y8" s="3">
        <v>-607</v>
      </c>
      <c r="Z8" s="3" t="s">
        <v>125</v>
      </c>
      <c r="AA8" s="30">
        <f>10*Y8</f>
        <v>-6070</v>
      </c>
      <c r="AB8" s="3"/>
      <c r="AC8" s="1" t="s">
        <v>124</v>
      </c>
    </row>
    <row r="9" spans="1:29" x14ac:dyDescent="0.25">
      <c r="A9" s="3"/>
      <c r="B9" s="25"/>
      <c r="C9" s="11"/>
      <c r="D9" s="11"/>
      <c r="E9" s="3"/>
      <c r="F9" s="3"/>
      <c r="G9" s="3"/>
      <c r="H9" s="47"/>
      <c r="I9" s="3"/>
      <c r="J9" s="3"/>
      <c r="K9" s="3"/>
      <c r="L9" s="3"/>
      <c r="M9" s="3"/>
      <c r="N9" s="11"/>
      <c r="O9" s="3"/>
      <c r="P9" s="3"/>
      <c r="Q9" s="30"/>
      <c r="R9" s="3"/>
      <c r="S9" s="3"/>
      <c r="T9" s="3"/>
      <c r="U9" s="48">
        <f t="shared" si="0"/>
        <v>0</v>
      </c>
      <c r="V9" s="48"/>
      <c r="W9" s="3"/>
      <c r="X9" s="3"/>
      <c r="Y9" s="3"/>
      <c r="Z9" s="3"/>
      <c r="AA9" s="30"/>
      <c r="AB9" s="3"/>
    </row>
    <row r="10" spans="1:29" x14ac:dyDescent="0.25">
      <c r="A10" s="5" t="s">
        <v>1</v>
      </c>
      <c r="B10" s="26"/>
      <c r="C10" s="11"/>
      <c r="D10" s="11"/>
      <c r="E10" s="3"/>
      <c r="F10" s="3"/>
      <c r="G10" s="3"/>
      <c r="H10" s="47"/>
      <c r="I10" s="3"/>
      <c r="J10" s="3"/>
      <c r="K10" s="3"/>
      <c r="L10" s="3"/>
      <c r="M10" s="3"/>
      <c r="N10" s="11"/>
      <c r="O10" s="3"/>
      <c r="P10" s="3"/>
      <c r="Q10" s="30"/>
      <c r="R10" s="3"/>
      <c r="S10" s="3"/>
      <c r="T10" s="3"/>
      <c r="U10" s="48">
        <f t="shared" si="0"/>
        <v>0</v>
      </c>
      <c r="V10" s="48"/>
      <c r="W10" s="3"/>
      <c r="X10" s="3"/>
      <c r="Y10" s="3"/>
      <c r="Z10" s="3"/>
      <c r="AA10" s="30"/>
      <c r="AB10" s="3"/>
    </row>
    <row r="11" spans="1:29" ht="45" x14ac:dyDescent="0.25">
      <c r="A11" s="3" t="s">
        <v>43</v>
      </c>
      <c r="B11" s="25"/>
      <c r="C11" s="45">
        <f>131100/63</f>
        <v>2080.9523809523807</v>
      </c>
      <c r="D11" s="11" t="s">
        <v>60</v>
      </c>
      <c r="E11" s="3" t="s">
        <v>20</v>
      </c>
      <c r="F11" s="3"/>
      <c r="G11" s="3" t="s">
        <v>79</v>
      </c>
      <c r="H11" s="47">
        <f>C11*230</f>
        <v>478619.04761904757</v>
      </c>
      <c r="I11" s="3" t="s">
        <v>150</v>
      </c>
      <c r="J11" s="3" t="s">
        <v>80</v>
      </c>
      <c r="K11" s="3" t="s">
        <v>83</v>
      </c>
      <c r="L11" s="3"/>
      <c r="M11" s="3"/>
      <c r="N11" s="11">
        <v>100</v>
      </c>
      <c r="O11" s="3" t="s">
        <v>75</v>
      </c>
      <c r="P11" s="9">
        <v>0.3</v>
      </c>
      <c r="Q11" s="30">
        <f>H11*2</f>
        <v>957238.09523809515</v>
      </c>
      <c r="R11" s="9" t="s">
        <v>150</v>
      </c>
      <c r="S11" s="3" t="s">
        <v>27</v>
      </c>
      <c r="T11" s="3"/>
      <c r="U11" s="48">
        <f t="shared" si="0"/>
        <v>478619.04761904757</v>
      </c>
      <c r="V11" s="48">
        <f t="shared" si="1"/>
        <v>230</v>
      </c>
      <c r="W11" s="3"/>
      <c r="X11" s="3"/>
      <c r="Y11" s="3">
        <v>195</v>
      </c>
      <c r="Z11" s="3" t="s">
        <v>126</v>
      </c>
      <c r="AA11" s="30">
        <f>288*Y11</f>
        <v>56160</v>
      </c>
      <c r="AB11" s="3"/>
      <c r="AC11" s="1" t="s">
        <v>127</v>
      </c>
    </row>
    <row r="12" spans="1:29" x14ac:dyDescent="0.25">
      <c r="A12" s="3"/>
      <c r="B12" s="25"/>
      <c r="C12" s="11"/>
      <c r="D12" s="11"/>
      <c r="E12" s="3"/>
      <c r="F12" s="3"/>
      <c r="G12" s="3"/>
      <c r="H12" s="47"/>
      <c r="I12" s="3"/>
      <c r="J12" s="3"/>
      <c r="K12" s="3"/>
      <c r="L12" s="3"/>
      <c r="M12" s="3"/>
      <c r="N12" s="11"/>
      <c r="O12" s="3"/>
      <c r="P12" s="9"/>
      <c r="Q12" s="30"/>
      <c r="R12" s="9"/>
      <c r="S12" s="3"/>
      <c r="T12" s="3"/>
      <c r="U12" s="48">
        <f t="shared" si="0"/>
        <v>0</v>
      </c>
      <c r="V12" s="3"/>
      <c r="W12" s="3"/>
      <c r="X12" s="3"/>
      <c r="Y12" s="3"/>
      <c r="Z12" s="3"/>
      <c r="AA12" s="30"/>
      <c r="AB12" s="3"/>
    </row>
    <row r="13" spans="1:29" x14ac:dyDescent="0.25">
      <c r="A13" s="5" t="s">
        <v>2</v>
      </c>
      <c r="B13" s="26"/>
      <c r="C13" s="11"/>
      <c r="D13" s="11" t="s">
        <v>44</v>
      </c>
      <c r="E13" s="3"/>
      <c r="F13" s="3"/>
      <c r="G13" s="3"/>
      <c r="H13" s="47"/>
      <c r="I13" s="3"/>
      <c r="J13" s="3"/>
      <c r="K13" s="3"/>
      <c r="L13" s="3"/>
      <c r="M13" s="3"/>
      <c r="N13" s="11"/>
      <c r="O13" s="3"/>
      <c r="P13" s="3"/>
      <c r="Q13" s="30"/>
      <c r="R13" s="3"/>
      <c r="S13" s="3"/>
      <c r="T13" s="3"/>
      <c r="U13" s="48">
        <f t="shared" si="0"/>
        <v>0</v>
      </c>
      <c r="V13" s="3"/>
      <c r="W13" s="3"/>
      <c r="X13" s="3"/>
      <c r="Y13" s="3"/>
      <c r="Z13" s="3"/>
      <c r="AA13" s="30"/>
      <c r="AB13" s="3"/>
    </row>
    <row r="14" spans="1:29" x14ac:dyDescent="0.25">
      <c r="A14" s="3" t="s">
        <v>26</v>
      </c>
      <c r="B14" s="25"/>
      <c r="C14" s="11">
        <v>225</v>
      </c>
      <c r="D14" s="11" t="s">
        <v>46</v>
      </c>
      <c r="E14" s="3"/>
      <c r="F14" s="3"/>
      <c r="G14" s="3"/>
      <c r="H14" s="47"/>
      <c r="I14" s="3"/>
      <c r="J14" s="3"/>
      <c r="K14" s="3"/>
      <c r="L14" s="3"/>
      <c r="M14" s="3"/>
      <c r="N14" s="11"/>
      <c r="O14" s="3"/>
      <c r="P14" s="9"/>
      <c r="Q14" s="30"/>
      <c r="R14" s="9"/>
      <c r="S14" s="3"/>
      <c r="T14" s="3"/>
      <c r="U14" s="48">
        <f t="shared" si="0"/>
        <v>0</v>
      </c>
      <c r="V14" s="3"/>
      <c r="W14" s="3"/>
      <c r="X14" s="3"/>
      <c r="Y14" s="3"/>
      <c r="Z14" s="3"/>
      <c r="AA14" s="30"/>
      <c r="AB14" s="3"/>
    </row>
    <row r="15" spans="1:29" x14ac:dyDescent="0.25">
      <c r="A15" s="3" t="s">
        <v>84</v>
      </c>
      <c r="B15" s="25"/>
      <c r="C15" s="11">
        <v>90</v>
      </c>
      <c r="D15" s="11" t="s">
        <v>34</v>
      </c>
      <c r="E15" s="3"/>
      <c r="F15" s="3"/>
      <c r="G15" s="3"/>
      <c r="H15" s="47"/>
      <c r="I15" s="3"/>
      <c r="J15" s="3"/>
      <c r="K15" s="3"/>
      <c r="L15" s="3"/>
      <c r="M15" s="3"/>
      <c r="N15" s="11"/>
      <c r="O15" s="3"/>
      <c r="P15" s="9"/>
      <c r="Q15" s="30"/>
      <c r="R15" s="9"/>
      <c r="S15" s="3"/>
      <c r="T15" s="3"/>
      <c r="U15" s="48">
        <f t="shared" si="0"/>
        <v>0</v>
      </c>
      <c r="V15" s="3"/>
      <c r="W15" s="3"/>
      <c r="X15" s="3"/>
      <c r="Y15" s="3"/>
      <c r="Z15" s="3"/>
      <c r="AA15" s="30"/>
      <c r="AB15" s="3"/>
    </row>
    <row r="16" spans="1:29" x14ac:dyDescent="0.25">
      <c r="A16" s="5"/>
      <c r="B16" s="26"/>
      <c r="C16" s="11"/>
      <c r="D16" s="11"/>
      <c r="E16" s="3"/>
      <c r="F16" s="3"/>
      <c r="G16" s="3"/>
      <c r="H16" s="47"/>
      <c r="I16" s="3"/>
      <c r="J16" s="3"/>
      <c r="K16" s="3"/>
      <c r="L16" s="3"/>
      <c r="M16" s="3"/>
      <c r="N16" s="11"/>
      <c r="O16" s="3"/>
      <c r="P16" s="3"/>
      <c r="Q16" s="30"/>
      <c r="R16" s="3"/>
      <c r="S16" s="3"/>
      <c r="T16" s="3"/>
      <c r="U16" s="48">
        <f t="shared" si="0"/>
        <v>0</v>
      </c>
      <c r="V16" s="3"/>
      <c r="W16" s="3"/>
      <c r="X16" s="3"/>
      <c r="Y16" s="3"/>
      <c r="Z16" s="3"/>
      <c r="AA16" s="30"/>
      <c r="AB16" s="3"/>
    </row>
    <row r="17" spans="1:29" x14ac:dyDescent="0.25">
      <c r="A17" s="5" t="s">
        <v>3</v>
      </c>
      <c r="B17" s="26"/>
      <c r="C17" s="11"/>
      <c r="D17" s="11"/>
      <c r="E17" s="3"/>
      <c r="F17" s="3"/>
      <c r="G17" s="3"/>
      <c r="H17" s="47"/>
      <c r="I17" s="3"/>
      <c r="J17" s="3"/>
      <c r="K17" s="3"/>
      <c r="L17" s="3"/>
      <c r="M17" s="3"/>
      <c r="N17" s="11"/>
      <c r="O17" s="3"/>
      <c r="P17" s="3"/>
      <c r="Q17" s="30"/>
      <c r="R17" s="3"/>
      <c r="S17" s="3"/>
      <c r="T17" s="3"/>
      <c r="U17" s="48">
        <f t="shared" si="0"/>
        <v>0</v>
      </c>
      <c r="V17" s="3"/>
      <c r="W17" s="3"/>
      <c r="X17" s="3"/>
      <c r="Y17" s="3"/>
      <c r="Z17" s="3"/>
      <c r="AA17" s="30"/>
      <c r="AB17" s="3"/>
    </row>
    <row r="18" spans="1:29" ht="19.5" customHeight="1" x14ac:dyDescent="0.25">
      <c r="A18" s="3" t="s">
        <v>47</v>
      </c>
      <c r="B18" s="41"/>
      <c r="C18" s="11">
        <v>38</v>
      </c>
      <c r="D18" s="11" t="s">
        <v>34</v>
      </c>
      <c r="E18" s="3"/>
      <c r="F18" s="3"/>
      <c r="G18" s="3"/>
      <c r="H18" s="47">
        <f>C18*300</f>
        <v>11400</v>
      </c>
      <c r="I18" s="3" t="s">
        <v>150</v>
      </c>
      <c r="J18" s="3" t="s">
        <v>85</v>
      </c>
      <c r="K18" s="3" t="s">
        <v>81</v>
      </c>
      <c r="L18" s="3"/>
      <c r="M18" s="3"/>
      <c r="N18" s="11">
        <v>15</v>
      </c>
      <c r="O18" s="3" t="s">
        <v>75</v>
      </c>
      <c r="P18" s="9">
        <v>0.2</v>
      </c>
      <c r="Q18" s="30">
        <f>H18*1.15</f>
        <v>13109.999999999998</v>
      </c>
      <c r="R18" s="9" t="s">
        <v>150</v>
      </c>
      <c r="S18" s="3" t="s">
        <v>27</v>
      </c>
      <c r="T18" s="3"/>
      <c r="U18" s="48">
        <f t="shared" si="0"/>
        <v>1709.9999999999982</v>
      </c>
      <c r="V18" s="48">
        <f t="shared" si="1"/>
        <v>44.99999999999995</v>
      </c>
      <c r="W18" s="3"/>
      <c r="X18" s="3"/>
      <c r="Y18" s="3">
        <v>103</v>
      </c>
      <c r="Z18" s="3" t="s">
        <v>145</v>
      </c>
      <c r="AA18" s="30">
        <f>Y18*C18</f>
        <v>3914</v>
      </c>
      <c r="AB18" s="3"/>
      <c r="AC18" s="1" t="s">
        <v>144</v>
      </c>
    </row>
    <row r="19" spans="1:29" ht="16.5" customHeight="1" x14ac:dyDescent="0.25">
      <c r="A19" s="3" t="s">
        <v>48</v>
      </c>
      <c r="B19" s="41"/>
      <c r="C19" s="11">
        <v>32</v>
      </c>
      <c r="D19" s="11" t="s">
        <v>34</v>
      </c>
      <c r="E19" s="3"/>
      <c r="F19" s="3"/>
      <c r="G19" s="3"/>
      <c r="H19" s="47">
        <f>C19*1200</f>
        <v>38400</v>
      </c>
      <c r="I19" s="3" t="s">
        <v>150</v>
      </c>
      <c r="J19" s="3" t="s">
        <v>85</v>
      </c>
      <c r="K19" s="3" t="s">
        <v>81</v>
      </c>
      <c r="L19" s="3"/>
      <c r="M19" s="3"/>
      <c r="N19" s="11">
        <v>15</v>
      </c>
      <c r="O19" s="3" t="s">
        <v>75</v>
      </c>
      <c r="P19" s="9">
        <v>0.2</v>
      </c>
      <c r="Q19" s="30">
        <f t="shared" ref="Q19:Q23" si="2">H19*1.15</f>
        <v>44160</v>
      </c>
      <c r="R19" s="9" t="s">
        <v>150</v>
      </c>
      <c r="S19" s="3" t="s">
        <v>27</v>
      </c>
      <c r="T19" s="3"/>
      <c r="U19" s="48">
        <f t="shared" si="0"/>
        <v>5760</v>
      </c>
      <c r="V19" s="48">
        <f t="shared" si="1"/>
        <v>180</v>
      </c>
      <c r="W19" s="3"/>
      <c r="X19" s="3"/>
      <c r="Y19" s="3">
        <v>171</v>
      </c>
      <c r="Z19" s="3" t="s">
        <v>130</v>
      </c>
      <c r="AA19" s="30">
        <f>C19*Y19</f>
        <v>5472</v>
      </c>
      <c r="AB19" s="3"/>
      <c r="AC19" s="1" t="s">
        <v>131</v>
      </c>
    </row>
    <row r="20" spans="1:29" ht="18" customHeight="1" x14ac:dyDescent="0.25">
      <c r="A20" s="3" t="s">
        <v>49</v>
      </c>
      <c r="B20" s="41"/>
      <c r="C20" s="11">
        <v>38</v>
      </c>
      <c r="D20" s="11" t="s">
        <v>34</v>
      </c>
      <c r="E20" s="3"/>
      <c r="F20" s="3"/>
      <c r="G20" s="3"/>
      <c r="H20" s="47">
        <f>C20*400</f>
        <v>15200</v>
      </c>
      <c r="I20" s="3" t="s">
        <v>150</v>
      </c>
      <c r="J20" s="3" t="s">
        <v>85</v>
      </c>
      <c r="K20" s="3" t="s">
        <v>81</v>
      </c>
      <c r="L20" s="3"/>
      <c r="M20" s="3"/>
      <c r="N20" s="11">
        <v>15</v>
      </c>
      <c r="O20" s="3" t="s">
        <v>75</v>
      </c>
      <c r="P20" s="9">
        <v>0.2</v>
      </c>
      <c r="Q20" s="30">
        <f t="shared" si="2"/>
        <v>17480</v>
      </c>
      <c r="R20" s="9" t="s">
        <v>150</v>
      </c>
      <c r="S20" s="3" t="s">
        <v>27</v>
      </c>
      <c r="T20" s="3"/>
      <c r="U20" s="48">
        <f t="shared" si="0"/>
        <v>2280</v>
      </c>
      <c r="V20" s="48">
        <f t="shared" si="1"/>
        <v>60</v>
      </c>
      <c r="W20" s="3"/>
      <c r="X20" s="3"/>
      <c r="Y20" s="3">
        <v>100</v>
      </c>
      <c r="Z20" s="3" t="s">
        <v>133</v>
      </c>
      <c r="AA20" s="30">
        <f>Y20*C20</f>
        <v>3800</v>
      </c>
      <c r="AB20" s="3"/>
      <c r="AC20" s="1" t="s">
        <v>132</v>
      </c>
    </row>
    <row r="21" spans="1:29" ht="18.600000000000001" customHeight="1" x14ac:dyDescent="0.25">
      <c r="A21" s="3" t="s">
        <v>50</v>
      </c>
      <c r="B21" s="41"/>
      <c r="C21" s="11">
        <v>24</v>
      </c>
      <c r="D21" s="11" t="s">
        <v>34</v>
      </c>
      <c r="E21" s="3"/>
      <c r="F21" s="3"/>
      <c r="G21" s="3"/>
      <c r="H21" s="47">
        <f>C21*500</f>
        <v>12000</v>
      </c>
      <c r="I21" s="3" t="s">
        <v>150</v>
      </c>
      <c r="J21" s="3" t="s">
        <v>85</v>
      </c>
      <c r="K21" s="3" t="s">
        <v>81</v>
      </c>
      <c r="L21" s="3"/>
      <c r="M21" s="3"/>
      <c r="N21" s="11">
        <v>15</v>
      </c>
      <c r="O21" s="3" t="s">
        <v>75</v>
      </c>
      <c r="P21" s="9">
        <v>0.2</v>
      </c>
      <c r="Q21" s="30">
        <f t="shared" si="2"/>
        <v>13799.999999999998</v>
      </c>
      <c r="R21" s="9" t="s">
        <v>150</v>
      </c>
      <c r="S21" s="3" t="s">
        <v>27</v>
      </c>
      <c r="T21" s="3"/>
      <c r="U21" s="48">
        <f t="shared" si="0"/>
        <v>1799.9999999999982</v>
      </c>
      <c r="V21" s="48">
        <f t="shared" si="1"/>
        <v>74.999999999999929</v>
      </c>
      <c r="W21" s="3"/>
      <c r="X21" s="3"/>
      <c r="Y21" s="3">
        <v>204</v>
      </c>
      <c r="Z21" s="3" t="s">
        <v>133</v>
      </c>
      <c r="AA21" s="30">
        <f>Y21*C21</f>
        <v>4896</v>
      </c>
      <c r="AB21" s="3"/>
      <c r="AC21" s="1" t="s">
        <v>143</v>
      </c>
    </row>
    <row r="22" spans="1:29" ht="20.100000000000001" customHeight="1" x14ac:dyDescent="0.25">
      <c r="A22" s="3" t="s">
        <v>56</v>
      </c>
      <c r="B22" s="41"/>
      <c r="C22" s="11">
        <v>36</v>
      </c>
      <c r="D22" s="11" t="s">
        <v>34</v>
      </c>
      <c r="E22" s="3"/>
      <c r="F22" s="3"/>
      <c r="G22" s="3"/>
      <c r="H22" s="47">
        <f>C22*700</f>
        <v>25200</v>
      </c>
      <c r="I22" s="3" t="s">
        <v>150</v>
      </c>
      <c r="J22" s="3" t="s">
        <v>85</v>
      </c>
      <c r="K22" s="3" t="s">
        <v>81</v>
      </c>
      <c r="L22" s="3"/>
      <c r="M22" s="3"/>
      <c r="N22" s="11">
        <v>15</v>
      </c>
      <c r="O22" s="3" t="s">
        <v>75</v>
      </c>
      <c r="P22" s="9">
        <v>0.2</v>
      </c>
      <c r="Q22" s="30">
        <f t="shared" si="2"/>
        <v>28979.999999999996</v>
      </c>
      <c r="R22" s="3"/>
      <c r="S22" s="3" t="s">
        <v>27</v>
      </c>
      <c r="T22" s="3"/>
      <c r="U22" s="48">
        <f t="shared" si="0"/>
        <v>3779.9999999999964</v>
      </c>
      <c r="V22" s="48">
        <f t="shared" si="1"/>
        <v>104.9999999999999</v>
      </c>
      <c r="W22" s="3"/>
      <c r="X22" s="3"/>
      <c r="Y22" s="3">
        <v>-8</v>
      </c>
      <c r="Z22" s="3" t="s">
        <v>134</v>
      </c>
      <c r="AA22" s="30">
        <f t="shared" ref="AA22:AA23" si="3">Y22*C22</f>
        <v>-288</v>
      </c>
      <c r="AB22" s="3"/>
      <c r="AC22" s="1" t="s">
        <v>135</v>
      </c>
    </row>
    <row r="23" spans="1:29" ht="17.100000000000001" customHeight="1" x14ac:dyDescent="0.25">
      <c r="A23" s="3" t="s">
        <v>57</v>
      </c>
      <c r="B23" s="5"/>
      <c r="C23" s="11">
        <v>144</v>
      </c>
      <c r="D23" s="11"/>
      <c r="E23" s="3"/>
      <c r="F23" s="3"/>
      <c r="G23" s="3"/>
      <c r="H23" s="47">
        <f>C23*300</f>
        <v>43200</v>
      </c>
      <c r="I23" s="3" t="s">
        <v>150</v>
      </c>
      <c r="J23" s="3" t="s">
        <v>85</v>
      </c>
      <c r="K23" s="3" t="s">
        <v>81</v>
      </c>
      <c r="L23" s="3"/>
      <c r="M23" s="3"/>
      <c r="N23" s="11">
        <v>15</v>
      </c>
      <c r="O23" s="3" t="s">
        <v>75</v>
      </c>
      <c r="P23" s="9">
        <v>0.2</v>
      </c>
      <c r="Q23" s="30">
        <f t="shared" si="2"/>
        <v>49679.999999999993</v>
      </c>
      <c r="R23" s="3"/>
      <c r="S23" s="3" t="s">
        <v>27</v>
      </c>
      <c r="T23" s="3"/>
      <c r="U23" s="48">
        <f t="shared" si="0"/>
        <v>6479.9999999999927</v>
      </c>
      <c r="V23" s="48">
        <f t="shared" si="1"/>
        <v>44.99999999999995</v>
      </c>
      <c r="W23" s="3"/>
      <c r="X23" s="3"/>
      <c r="Y23" s="3">
        <v>-48</v>
      </c>
      <c r="Z23" s="3" t="s">
        <v>134</v>
      </c>
      <c r="AA23" s="30">
        <f t="shared" si="3"/>
        <v>-6912</v>
      </c>
      <c r="AB23" s="3"/>
      <c r="AC23" s="1" t="s">
        <v>135</v>
      </c>
    </row>
    <row r="24" spans="1:29" x14ac:dyDescent="0.25">
      <c r="A24" s="3"/>
      <c r="B24" s="5"/>
      <c r="C24" s="11"/>
      <c r="D24" s="11"/>
      <c r="E24" s="3"/>
      <c r="F24" s="3"/>
      <c r="G24" s="3"/>
      <c r="H24" s="47"/>
      <c r="I24" s="3"/>
      <c r="J24" s="3"/>
      <c r="K24" s="3"/>
      <c r="L24" s="3"/>
      <c r="M24" s="3"/>
      <c r="N24" s="11"/>
      <c r="O24" s="3"/>
      <c r="P24" s="3"/>
      <c r="Q24" s="30"/>
      <c r="R24" s="3"/>
      <c r="S24" s="3"/>
      <c r="T24" s="3"/>
      <c r="U24" s="48">
        <f t="shared" si="0"/>
        <v>0</v>
      </c>
      <c r="V24" s="48"/>
      <c r="W24" s="3"/>
      <c r="X24" s="3"/>
      <c r="Y24" s="3"/>
      <c r="Z24" s="3"/>
      <c r="AA24" s="30"/>
      <c r="AB24" s="3"/>
    </row>
    <row r="25" spans="1:29" x14ac:dyDescent="0.25">
      <c r="A25" s="5"/>
      <c r="B25" s="5"/>
      <c r="C25" s="11"/>
      <c r="D25" s="11"/>
      <c r="E25" s="3"/>
      <c r="F25" s="3"/>
      <c r="G25" s="3"/>
      <c r="H25" s="47"/>
      <c r="I25" s="3"/>
      <c r="J25" s="3"/>
      <c r="K25" s="3"/>
      <c r="L25" s="3"/>
      <c r="M25" s="3"/>
      <c r="N25" s="11"/>
      <c r="O25" s="3"/>
      <c r="P25" s="3"/>
      <c r="Q25" s="30"/>
      <c r="R25" s="3"/>
      <c r="S25" s="3"/>
      <c r="T25" s="3"/>
      <c r="U25" s="48">
        <f t="shared" si="0"/>
        <v>0</v>
      </c>
      <c r="V25" s="48"/>
      <c r="W25" s="3"/>
      <c r="X25" s="3"/>
      <c r="Y25" s="3"/>
      <c r="Z25" s="3"/>
      <c r="AA25" s="30"/>
      <c r="AB25" s="3"/>
    </row>
    <row r="26" spans="1:29" x14ac:dyDescent="0.25">
      <c r="A26" s="5" t="s">
        <v>4</v>
      </c>
      <c r="B26" s="5"/>
      <c r="C26" s="11"/>
      <c r="D26" s="11"/>
      <c r="E26" s="3"/>
      <c r="F26" s="3"/>
      <c r="G26" s="3"/>
      <c r="H26" s="47"/>
      <c r="I26" s="3"/>
      <c r="J26" s="3"/>
      <c r="K26" s="3"/>
      <c r="L26" s="3"/>
      <c r="M26" s="3"/>
      <c r="N26" s="11"/>
      <c r="O26" s="3"/>
      <c r="P26" s="3"/>
      <c r="Q26" s="30"/>
      <c r="R26" s="3"/>
      <c r="S26" s="3"/>
      <c r="T26" s="3"/>
      <c r="U26" s="48">
        <f t="shared" si="0"/>
        <v>0</v>
      </c>
      <c r="V26" s="48"/>
      <c r="W26" s="3"/>
      <c r="X26" s="3"/>
      <c r="Y26" s="3"/>
      <c r="Z26" s="3"/>
      <c r="AA26" s="30"/>
      <c r="AB26" s="3"/>
    </row>
    <row r="27" spans="1:29" ht="18" customHeight="1" x14ac:dyDescent="0.25">
      <c r="A27" s="3" t="s">
        <v>51</v>
      </c>
      <c r="B27" s="42"/>
      <c r="C27" s="11">
        <f>1960/10</f>
        <v>196</v>
      </c>
      <c r="D27" s="11" t="s">
        <v>34</v>
      </c>
      <c r="E27" s="3"/>
      <c r="F27" s="3"/>
      <c r="G27" s="3" t="s">
        <v>79</v>
      </c>
      <c r="H27" s="47">
        <f>C27*550</f>
        <v>107800</v>
      </c>
      <c r="I27" s="3" t="s">
        <v>150</v>
      </c>
      <c r="J27" s="3" t="s">
        <v>86</v>
      </c>
      <c r="K27" s="3" t="s">
        <v>152</v>
      </c>
      <c r="L27" s="3"/>
      <c r="M27" s="3"/>
      <c r="N27" s="11">
        <v>10</v>
      </c>
      <c r="O27" s="3" t="s">
        <v>75</v>
      </c>
      <c r="P27" s="9">
        <v>0.2</v>
      </c>
      <c r="Q27" s="30">
        <f>H27*1.1</f>
        <v>118580.00000000001</v>
      </c>
      <c r="R27" s="3" t="s">
        <v>150</v>
      </c>
      <c r="S27" s="3" t="s">
        <v>116</v>
      </c>
      <c r="T27" s="3"/>
      <c r="U27" s="48">
        <f t="shared" si="0"/>
        <v>10780.000000000015</v>
      </c>
      <c r="V27" s="48">
        <f t="shared" si="1"/>
        <v>55.000000000000071</v>
      </c>
      <c r="W27" s="3"/>
      <c r="X27" s="3"/>
      <c r="Y27" s="3">
        <v>-607</v>
      </c>
      <c r="Z27" s="3" t="s">
        <v>125</v>
      </c>
      <c r="AA27" s="30">
        <f>104*Y27</f>
        <v>-63128</v>
      </c>
      <c r="AB27" s="3"/>
      <c r="AC27" s="1" t="s">
        <v>124</v>
      </c>
    </row>
    <row r="28" spans="1:29" x14ac:dyDescent="0.25">
      <c r="A28" s="3" t="s">
        <v>87</v>
      </c>
      <c r="B28" s="5"/>
      <c r="C28" s="11">
        <v>14250</v>
      </c>
      <c r="D28" s="11" t="s">
        <v>52</v>
      </c>
      <c r="E28" s="3"/>
      <c r="F28" s="3"/>
      <c r="G28" s="3"/>
      <c r="H28" s="47"/>
      <c r="I28" s="3"/>
      <c r="J28" s="3"/>
      <c r="K28" s="3"/>
      <c r="L28" s="3"/>
      <c r="M28" s="3"/>
      <c r="N28" s="11"/>
      <c r="O28" s="3"/>
      <c r="P28" s="3"/>
      <c r="Q28" s="30"/>
      <c r="R28" s="3"/>
      <c r="S28" s="3"/>
      <c r="T28" s="3"/>
      <c r="U28" s="48">
        <f t="shared" si="0"/>
        <v>0</v>
      </c>
      <c r="V28" s="48"/>
      <c r="W28" s="3"/>
      <c r="X28" s="3"/>
      <c r="Y28" s="3"/>
      <c r="Z28" s="3"/>
      <c r="AA28" s="30"/>
      <c r="AB28" s="3"/>
    </row>
    <row r="29" spans="1:29" x14ac:dyDescent="0.25">
      <c r="A29" s="3" t="s">
        <v>88</v>
      </c>
      <c r="B29" s="5"/>
      <c r="C29" s="11"/>
      <c r="D29" s="11"/>
      <c r="E29" s="3"/>
      <c r="F29" s="3"/>
      <c r="G29" s="3"/>
      <c r="H29" s="47"/>
      <c r="I29" s="3"/>
      <c r="J29" s="3"/>
      <c r="K29" s="3"/>
      <c r="L29" s="3"/>
      <c r="M29" s="3"/>
      <c r="N29" s="11"/>
      <c r="O29" s="3"/>
      <c r="P29" s="3"/>
      <c r="Q29" s="30"/>
      <c r="R29" s="3"/>
      <c r="S29" s="3"/>
      <c r="T29" s="3"/>
      <c r="U29" s="48">
        <f t="shared" si="0"/>
        <v>0</v>
      </c>
      <c r="V29" s="48"/>
      <c r="W29" s="3"/>
      <c r="X29" s="3"/>
      <c r="Y29" s="3"/>
      <c r="Z29" s="3"/>
      <c r="AA29" s="30"/>
      <c r="AB29" s="3"/>
    </row>
    <row r="30" spans="1:29" ht="15.95" customHeight="1" x14ac:dyDescent="0.25">
      <c r="A30" s="3" t="s">
        <v>53</v>
      </c>
      <c r="B30" s="42"/>
      <c r="C30" s="11">
        <v>134</v>
      </c>
      <c r="D30" s="11" t="s">
        <v>52</v>
      </c>
      <c r="E30" s="3"/>
      <c r="F30" s="3"/>
      <c r="G30" s="3"/>
      <c r="H30" s="47">
        <f>C30*30</f>
        <v>4020</v>
      </c>
      <c r="I30" s="3" t="s">
        <v>150</v>
      </c>
      <c r="J30" s="3" t="s">
        <v>86</v>
      </c>
      <c r="K30" s="3" t="s">
        <v>152</v>
      </c>
      <c r="L30" s="3"/>
      <c r="M30" s="3"/>
      <c r="N30" s="11">
        <v>25</v>
      </c>
      <c r="O30" s="3" t="s">
        <v>75</v>
      </c>
      <c r="P30" s="3"/>
      <c r="Q30" s="30">
        <f>H30*1.25+4000</f>
        <v>9025</v>
      </c>
      <c r="R30" s="3" t="s">
        <v>150</v>
      </c>
      <c r="S30" s="3" t="s">
        <v>117</v>
      </c>
      <c r="T30" s="3"/>
      <c r="U30" s="48">
        <f t="shared" si="0"/>
        <v>5005</v>
      </c>
      <c r="V30" s="48">
        <f t="shared" si="1"/>
        <v>37.350746268656714</v>
      </c>
      <c r="W30" s="3"/>
      <c r="X30" s="3"/>
      <c r="Y30" s="3">
        <v>-607</v>
      </c>
      <c r="Z30" s="3" t="s">
        <v>125</v>
      </c>
      <c r="AA30" s="30">
        <f>4.5*Y30</f>
        <v>-2731.5</v>
      </c>
      <c r="AB30" s="3"/>
      <c r="AC30" s="1" t="s">
        <v>124</v>
      </c>
    </row>
    <row r="31" spans="1:29" x14ac:dyDescent="0.25">
      <c r="A31" s="3" t="s">
        <v>90</v>
      </c>
      <c r="B31" s="5"/>
      <c r="C31" s="11">
        <v>1600</v>
      </c>
      <c r="D31" s="11"/>
      <c r="E31" s="3"/>
      <c r="F31" s="3"/>
      <c r="G31" s="3"/>
      <c r="H31" s="47"/>
      <c r="I31" s="3"/>
      <c r="J31" s="3"/>
      <c r="K31" s="3"/>
      <c r="L31" s="3"/>
      <c r="M31" s="3"/>
      <c r="N31" s="11"/>
      <c r="O31" s="3"/>
      <c r="P31" s="3"/>
      <c r="Q31" s="30"/>
      <c r="R31" s="3"/>
      <c r="S31" s="3"/>
      <c r="T31" s="3"/>
      <c r="U31" s="48">
        <f t="shared" si="0"/>
        <v>0</v>
      </c>
      <c r="V31" s="3"/>
      <c r="W31" s="3"/>
      <c r="X31" s="3"/>
      <c r="Y31" s="3"/>
      <c r="Z31" s="3"/>
      <c r="AA31" s="30"/>
      <c r="AB31" s="3"/>
    </row>
    <row r="32" spans="1:29" x14ac:dyDescent="0.25">
      <c r="A32" s="5"/>
      <c r="B32" s="5"/>
      <c r="C32" s="11"/>
      <c r="D32" s="11"/>
      <c r="E32" s="3"/>
      <c r="F32" s="3"/>
      <c r="G32" s="3"/>
      <c r="H32" s="47"/>
      <c r="I32" s="3"/>
      <c r="J32" s="3"/>
      <c r="K32" s="3"/>
      <c r="L32" s="3"/>
      <c r="M32" s="3"/>
      <c r="N32" s="11"/>
      <c r="O32" s="3"/>
      <c r="P32" s="3"/>
      <c r="Q32" s="30"/>
      <c r="R32" s="3"/>
      <c r="S32" s="3"/>
      <c r="T32" s="3"/>
      <c r="U32" s="48">
        <f t="shared" si="0"/>
        <v>0</v>
      </c>
      <c r="V32" s="3"/>
      <c r="W32" s="3"/>
      <c r="X32" s="3"/>
      <c r="Y32" s="3"/>
      <c r="Z32" s="3"/>
      <c r="AA32" s="30"/>
      <c r="AB32" s="3"/>
    </row>
    <row r="33" spans="1:29" x14ac:dyDescent="0.25">
      <c r="A33" s="5" t="s">
        <v>5</v>
      </c>
      <c r="B33" s="5"/>
      <c r="C33" s="11"/>
      <c r="D33" s="11"/>
      <c r="E33" s="3"/>
      <c r="F33" s="3"/>
      <c r="G33" s="3"/>
      <c r="H33" s="47"/>
      <c r="I33" s="3"/>
      <c r="J33" s="3"/>
      <c r="K33" s="3"/>
      <c r="L33" s="3"/>
      <c r="M33" s="3"/>
      <c r="N33" s="11"/>
      <c r="O33" s="3"/>
      <c r="P33" s="3"/>
      <c r="Q33" s="30"/>
      <c r="R33" s="3"/>
      <c r="S33" s="3"/>
      <c r="T33" s="3"/>
      <c r="U33" s="48">
        <f t="shared" si="0"/>
        <v>0</v>
      </c>
      <c r="V33" s="3"/>
      <c r="W33" s="3"/>
      <c r="X33" s="3"/>
      <c r="Y33" s="3"/>
      <c r="Z33" s="3"/>
      <c r="AA33" s="30"/>
      <c r="AB33" s="3"/>
    </row>
    <row r="34" spans="1:29" ht="21.6" customHeight="1" x14ac:dyDescent="0.25">
      <c r="A34" s="3" t="s">
        <v>142</v>
      </c>
      <c r="B34" s="42"/>
      <c r="C34" s="11">
        <v>677</v>
      </c>
      <c r="D34" s="11" t="s">
        <v>60</v>
      </c>
      <c r="E34" s="3"/>
      <c r="F34" s="3"/>
      <c r="G34" s="3" t="s">
        <v>91</v>
      </c>
      <c r="H34" s="47">
        <f>C34*120</f>
        <v>81240</v>
      </c>
      <c r="I34" s="3" t="s">
        <v>150</v>
      </c>
      <c r="J34" s="3" t="s">
        <v>92</v>
      </c>
      <c r="K34" s="3" t="s">
        <v>153</v>
      </c>
      <c r="L34" s="3"/>
      <c r="M34" s="3"/>
      <c r="N34" s="11">
        <v>100</v>
      </c>
      <c r="O34" s="3" t="s">
        <v>75</v>
      </c>
      <c r="P34" s="3"/>
      <c r="Q34" s="30">
        <f>H34*2</f>
        <v>162480</v>
      </c>
      <c r="R34" s="3" t="s">
        <v>150</v>
      </c>
      <c r="S34" s="3" t="s">
        <v>27</v>
      </c>
      <c r="T34" s="3"/>
      <c r="U34" s="48">
        <f t="shared" si="0"/>
        <v>81240</v>
      </c>
      <c r="V34" s="48">
        <f t="shared" si="1"/>
        <v>120</v>
      </c>
      <c r="W34" s="3"/>
      <c r="X34" s="3"/>
      <c r="Y34" s="3">
        <v>350</v>
      </c>
      <c r="Z34" s="3" t="s">
        <v>129</v>
      </c>
      <c r="AA34" s="30">
        <f>(62284*2.2/1000)*Y34</f>
        <v>47958.680000000008</v>
      </c>
      <c r="AB34" s="3"/>
      <c r="AC34" s="1" t="s">
        <v>128</v>
      </c>
    </row>
    <row r="35" spans="1:29" ht="20.45" customHeight="1" x14ac:dyDescent="0.25">
      <c r="A35" s="3" t="s">
        <v>67</v>
      </c>
      <c r="B35" s="43"/>
      <c r="C35" s="11">
        <v>47</v>
      </c>
      <c r="D35" s="11" t="s">
        <v>34</v>
      </c>
      <c r="E35" s="3"/>
      <c r="F35" s="3"/>
      <c r="G35" s="3" t="s">
        <v>91</v>
      </c>
      <c r="H35" s="47">
        <f>C35*250</f>
        <v>11750</v>
      </c>
      <c r="I35" s="3" t="s">
        <v>150</v>
      </c>
      <c r="J35" s="3" t="s">
        <v>93</v>
      </c>
      <c r="K35" s="3" t="s">
        <v>152</v>
      </c>
      <c r="L35" s="3"/>
      <c r="M35" s="3"/>
      <c r="N35" s="11">
        <v>100</v>
      </c>
      <c r="O35" s="3" t="s">
        <v>75</v>
      </c>
      <c r="P35" s="3"/>
      <c r="Q35" s="30">
        <f>H35*2</f>
        <v>23500</v>
      </c>
      <c r="R35" s="3" t="s">
        <v>150</v>
      </c>
      <c r="S35" s="3"/>
      <c r="T35" s="3"/>
      <c r="U35" s="48">
        <f t="shared" si="0"/>
        <v>11750</v>
      </c>
      <c r="V35" s="48">
        <f t="shared" si="1"/>
        <v>250</v>
      </c>
      <c r="W35" s="3"/>
      <c r="X35" s="3"/>
      <c r="Y35" s="3">
        <v>-8.39</v>
      </c>
      <c r="Z35" s="3" t="s">
        <v>136</v>
      </c>
      <c r="AA35" s="30">
        <f>320*Y35</f>
        <v>-2684.8</v>
      </c>
      <c r="AB35" s="3"/>
      <c r="AC35" s="1" t="s">
        <v>138</v>
      </c>
    </row>
    <row r="36" spans="1:29" x14ac:dyDescent="0.25">
      <c r="A36" s="5"/>
      <c r="B36" s="5"/>
      <c r="C36" s="11"/>
      <c r="D36" s="11"/>
      <c r="E36" s="3"/>
      <c r="F36" s="3"/>
      <c r="G36" s="3"/>
      <c r="H36" s="47"/>
      <c r="I36" s="3"/>
      <c r="J36" s="3"/>
      <c r="K36" s="3"/>
      <c r="L36" s="3"/>
      <c r="M36" s="3"/>
      <c r="N36" s="11"/>
      <c r="O36" s="3"/>
      <c r="P36" s="3"/>
      <c r="Q36" s="30"/>
      <c r="R36" s="3"/>
      <c r="S36" s="3"/>
      <c r="T36" s="3"/>
      <c r="U36" s="48">
        <f t="shared" si="0"/>
        <v>0</v>
      </c>
      <c r="V36" s="3"/>
      <c r="W36" s="3"/>
      <c r="X36" s="3"/>
      <c r="Y36" s="3"/>
      <c r="Z36" s="3"/>
      <c r="AA36" s="30"/>
      <c r="AB36" s="3"/>
    </row>
    <row r="37" spans="1:29" x14ac:dyDescent="0.25">
      <c r="A37" s="5" t="s">
        <v>6</v>
      </c>
      <c r="B37" s="5"/>
      <c r="C37" s="11"/>
      <c r="D37" s="11"/>
      <c r="E37" s="3"/>
      <c r="F37" s="3"/>
      <c r="G37" s="3"/>
      <c r="H37" s="47"/>
      <c r="I37" s="3"/>
      <c r="J37" s="3"/>
      <c r="K37" s="3"/>
      <c r="L37" s="3"/>
      <c r="M37" s="3"/>
      <c r="N37" s="11"/>
      <c r="O37" s="3"/>
      <c r="P37" s="3"/>
      <c r="Q37" s="30"/>
      <c r="R37" s="3"/>
      <c r="S37" s="3"/>
      <c r="T37" s="3"/>
      <c r="U37" s="48">
        <f t="shared" si="0"/>
        <v>0</v>
      </c>
      <c r="V37" s="3"/>
      <c r="W37" s="3"/>
      <c r="X37" s="3"/>
      <c r="Y37" s="3"/>
      <c r="Z37" s="3"/>
      <c r="AA37" s="30"/>
      <c r="AB37" s="3"/>
    </row>
    <row r="38" spans="1:29" ht="17.100000000000001" customHeight="1" x14ac:dyDescent="0.25">
      <c r="A38" s="3" t="s">
        <v>54</v>
      </c>
      <c r="B38" s="43"/>
      <c r="C38" s="11">
        <v>650</v>
      </c>
      <c r="D38" s="11" t="s">
        <v>60</v>
      </c>
      <c r="E38" s="3"/>
      <c r="F38" s="3"/>
      <c r="G38" s="3" t="s">
        <v>79</v>
      </c>
      <c r="H38" s="47">
        <f>C38*30</f>
        <v>19500</v>
      </c>
      <c r="I38" s="3" t="s">
        <v>150</v>
      </c>
      <c r="J38" s="3" t="s">
        <v>93</v>
      </c>
      <c r="K38" s="3" t="s">
        <v>152</v>
      </c>
      <c r="L38" s="3"/>
      <c r="M38" s="3"/>
      <c r="N38" s="11">
        <v>500</v>
      </c>
      <c r="O38" s="3" t="s">
        <v>75</v>
      </c>
      <c r="P38" s="3"/>
      <c r="Q38" s="30">
        <f>H38*5</f>
        <v>97500</v>
      </c>
      <c r="R38" s="3" t="s">
        <v>150</v>
      </c>
      <c r="S38" s="3" t="s">
        <v>27</v>
      </c>
      <c r="T38" s="3"/>
      <c r="U38" s="48">
        <f t="shared" si="0"/>
        <v>78000</v>
      </c>
      <c r="V38" s="48">
        <f t="shared" si="1"/>
        <v>120</v>
      </c>
      <c r="W38" s="3"/>
      <c r="X38" s="3"/>
      <c r="Y38" s="3">
        <v>-12.1</v>
      </c>
      <c r="Z38" s="3" t="s">
        <v>136</v>
      </c>
      <c r="AA38" s="30">
        <f>C38*Y38</f>
        <v>-7865</v>
      </c>
      <c r="AB38" s="3"/>
      <c r="AC38" s="1" t="s">
        <v>137</v>
      </c>
    </row>
    <row r="39" spans="1:29" ht="17.100000000000001" customHeight="1" x14ac:dyDescent="0.25">
      <c r="A39" s="3" t="s">
        <v>55</v>
      </c>
      <c r="B39" s="43"/>
      <c r="C39" s="11">
        <v>110</v>
      </c>
      <c r="D39" s="11" t="s">
        <v>60</v>
      </c>
      <c r="E39" s="3"/>
      <c r="F39" s="3"/>
      <c r="G39" s="3" t="s">
        <v>79</v>
      </c>
      <c r="H39" s="47">
        <f>C39*30</f>
        <v>3300</v>
      </c>
      <c r="I39" s="3" t="s">
        <v>150</v>
      </c>
      <c r="J39" s="3" t="s">
        <v>93</v>
      </c>
      <c r="K39" s="3" t="s">
        <v>152</v>
      </c>
      <c r="L39" s="3"/>
      <c r="M39" s="3"/>
      <c r="N39" s="11">
        <v>500</v>
      </c>
      <c r="O39" s="3" t="s">
        <v>75</v>
      </c>
      <c r="P39" s="3"/>
      <c r="Q39" s="30">
        <f>H39*5</f>
        <v>16500</v>
      </c>
      <c r="R39" s="3" t="s">
        <v>150</v>
      </c>
      <c r="S39" s="3" t="s">
        <v>27</v>
      </c>
      <c r="T39" s="3"/>
      <c r="U39" s="48">
        <f t="shared" si="0"/>
        <v>13200</v>
      </c>
      <c r="V39" s="48">
        <f t="shared" si="1"/>
        <v>120</v>
      </c>
      <c r="W39" s="3"/>
      <c r="X39" s="3"/>
      <c r="Y39" s="3">
        <v>-12.1</v>
      </c>
      <c r="Z39" s="3" t="s">
        <v>136</v>
      </c>
      <c r="AA39" s="30">
        <f>C39*Y39</f>
        <v>-1331</v>
      </c>
      <c r="AB39" s="3"/>
      <c r="AC39" s="1" t="s">
        <v>137</v>
      </c>
    </row>
    <row r="40" spans="1:29" x14ac:dyDescent="0.25">
      <c r="A40" s="5"/>
      <c r="B40" s="5"/>
      <c r="C40" s="3"/>
      <c r="D40" s="11"/>
      <c r="E40" s="3"/>
      <c r="F40" s="3"/>
      <c r="G40" s="3"/>
      <c r="H40" s="47"/>
      <c r="I40" s="3"/>
      <c r="J40" s="3"/>
      <c r="K40" s="3"/>
      <c r="L40" s="3"/>
      <c r="M40" s="3"/>
      <c r="N40" s="11"/>
      <c r="O40" s="3"/>
      <c r="P40" s="3"/>
      <c r="Q40" s="30"/>
      <c r="R40" s="3"/>
      <c r="S40" s="3"/>
      <c r="T40" s="3"/>
      <c r="U40" s="48">
        <f t="shared" si="0"/>
        <v>0</v>
      </c>
      <c r="V40" s="48"/>
      <c r="W40" s="3"/>
      <c r="X40" s="3"/>
      <c r="Y40" s="3"/>
      <c r="Z40" s="3"/>
      <c r="AA40" s="30"/>
      <c r="AB40" s="3"/>
    </row>
    <row r="41" spans="1:29" x14ac:dyDescent="0.25">
      <c r="A41" s="5" t="s">
        <v>7</v>
      </c>
      <c r="B41" s="5"/>
      <c r="C41" s="3"/>
      <c r="D41" s="11"/>
      <c r="E41" s="3"/>
      <c r="F41" s="3"/>
      <c r="G41" s="3"/>
      <c r="H41" s="47"/>
      <c r="I41" s="3"/>
      <c r="J41" s="3"/>
      <c r="K41" s="3"/>
      <c r="L41" s="3"/>
      <c r="M41" s="3"/>
      <c r="N41" s="11"/>
      <c r="O41" s="3"/>
      <c r="P41" s="3"/>
      <c r="Q41" s="30"/>
      <c r="R41" s="3"/>
      <c r="S41" s="3"/>
      <c r="T41" s="3"/>
      <c r="U41" s="48">
        <f t="shared" si="0"/>
        <v>0</v>
      </c>
      <c r="V41" s="48"/>
      <c r="W41" s="3"/>
      <c r="X41" s="3"/>
      <c r="Y41" s="3"/>
      <c r="Z41" s="3"/>
      <c r="AA41" s="30"/>
      <c r="AB41" s="3"/>
    </row>
    <row r="42" spans="1:29" x14ac:dyDescent="0.25">
      <c r="A42" s="3" t="s">
        <v>94</v>
      </c>
      <c r="B42" s="42"/>
      <c r="C42" s="11">
        <v>11</v>
      </c>
      <c r="D42" s="11" t="s">
        <v>34</v>
      </c>
      <c r="E42" s="3"/>
      <c r="F42" s="3"/>
      <c r="G42" s="3" t="s">
        <v>79</v>
      </c>
      <c r="H42" s="47">
        <f>C42*15</f>
        <v>165</v>
      </c>
      <c r="I42" s="3" t="s">
        <v>150</v>
      </c>
      <c r="J42" s="3" t="s">
        <v>95</v>
      </c>
      <c r="K42" s="3"/>
      <c r="L42" s="3"/>
      <c r="M42" s="3"/>
      <c r="N42" s="11">
        <v>600</v>
      </c>
      <c r="O42" s="3" t="s">
        <v>75</v>
      </c>
      <c r="P42" s="3"/>
      <c r="Q42" s="30">
        <f>H42*6</f>
        <v>990</v>
      </c>
      <c r="R42" s="3" t="s">
        <v>150</v>
      </c>
      <c r="S42" s="3" t="s">
        <v>27</v>
      </c>
      <c r="T42" s="3"/>
      <c r="U42" s="48">
        <f t="shared" si="0"/>
        <v>825</v>
      </c>
      <c r="V42" s="48">
        <f t="shared" si="1"/>
        <v>75</v>
      </c>
      <c r="W42" s="3"/>
      <c r="X42" s="3"/>
      <c r="Y42" s="3"/>
      <c r="Z42" s="3"/>
      <c r="AA42" s="30"/>
      <c r="AB42" s="3"/>
    </row>
    <row r="43" spans="1:29" x14ac:dyDescent="0.25">
      <c r="A43" s="3" t="s">
        <v>66</v>
      </c>
      <c r="B43" s="42"/>
      <c r="C43" s="11">
        <v>12</v>
      </c>
      <c r="D43" s="11" t="s">
        <v>34</v>
      </c>
      <c r="E43" s="3"/>
      <c r="F43" s="3"/>
      <c r="G43" s="3" t="s">
        <v>79</v>
      </c>
      <c r="H43" s="47">
        <f>C43*15</f>
        <v>180</v>
      </c>
      <c r="I43" s="3" t="s">
        <v>150</v>
      </c>
      <c r="J43" s="3" t="s">
        <v>95</v>
      </c>
      <c r="K43" s="3"/>
      <c r="L43" s="3"/>
      <c r="M43" s="3"/>
      <c r="N43" s="11">
        <v>600</v>
      </c>
      <c r="O43" s="3" t="s">
        <v>75</v>
      </c>
      <c r="P43" s="3"/>
      <c r="Q43" s="30">
        <f>H43*6</f>
        <v>1080</v>
      </c>
      <c r="R43" s="3" t="s">
        <v>150</v>
      </c>
      <c r="S43" s="3" t="s">
        <v>27</v>
      </c>
      <c r="T43" s="3"/>
      <c r="U43" s="48">
        <f t="shared" si="0"/>
        <v>900</v>
      </c>
      <c r="V43" s="48">
        <f t="shared" si="1"/>
        <v>75</v>
      </c>
      <c r="W43" s="3"/>
      <c r="X43" s="3"/>
      <c r="Y43" s="3"/>
      <c r="Z43" s="3"/>
      <c r="AA43" s="30"/>
      <c r="AB43" s="3"/>
    </row>
    <row r="44" spans="1:29" x14ac:dyDescent="0.25">
      <c r="A44" s="5"/>
      <c r="B44" s="5"/>
      <c r="C44" s="3"/>
      <c r="D44" s="11"/>
      <c r="E44" s="3"/>
      <c r="F44" s="3"/>
      <c r="G44" s="3"/>
      <c r="H44" s="47"/>
      <c r="I44" s="3"/>
      <c r="J44" s="3"/>
      <c r="K44" s="3"/>
      <c r="L44" s="3"/>
      <c r="M44" s="3"/>
      <c r="N44" s="11"/>
      <c r="O44" s="3"/>
      <c r="P44" s="3"/>
      <c r="Q44" s="30"/>
      <c r="R44" s="3"/>
      <c r="S44" s="3"/>
      <c r="T44" s="3"/>
      <c r="U44" s="48">
        <f t="shared" si="0"/>
        <v>0</v>
      </c>
      <c r="V44" s="48"/>
      <c r="W44" s="3"/>
      <c r="X44" s="3"/>
      <c r="Y44" s="3"/>
      <c r="Z44" s="3"/>
      <c r="AA44" s="30"/>
      <c r="AB44" s="3"/>
    </row>
    <row r="45" spans="1:29" x14ac:dyDescent="0.25">
      <c r="A45" s="5" t="s">
        <v>8</v>
      </c>
      <c r="B45" s="5"/>
      <c r="C45" s="3"/>
      <c r="D45" s="11"/>
      <c r="E45" s="3"/>
      <c r="F45" s="3"/>
      <c r="G45" s="3"/>
      <c r="H45" s="47"/>
      <c r="I45" s="3"/>
      <c r="J45" s="3"/>
      <c r="K45" s="3"/>
      <c r="L45" s="3"/>
      <c r="M45" s="3"/>
      <c r="N45" s="11"/>
      <c r="O45" s="3"/>
      <c r="P45" s="3"/>
      <c r="Q45" s="30"/>
      <c r="R45" s="3"/>
      <c r="S45" s="3"/>
      <c r="T45" s="3"/>
      <c r="U45" s="48">
        <f t="shared" si="0"/>
        <v>0</v>
      </c>
      <c r="V45" s="48"/>
      <c r="W45" s="3"/>
      <c r="X45" s="3"/>
      <c r="Y45" s="3"/>
      <c r="Z45" s="3"/>
      <c r="AA45" s="30"/>
      <c r="AB45" s="3"/>
    </row>
    <row r="46" spans="1:29" ht="18.95" customHeight="1" x14ac:dyDescent="0.25">
      <c r="A46" s="3" t="s">
        <v>68</v>
      </c>
      <c r="B46" s="43"/>
      <c r="C46" s="11">
        <v>96</v>
      </c>
      <c r="D46" s="11" t="s">
        <v>34</v>
      </c>
      <c r="E46" s="3"/>
      <c r="F46" s="3"/>
      <c r="G46" s="3" t="s">
        <v>79</v>
      </c>
      <c r="H46" s="47">
        <v>2500</v>
      </c>
      <c r="I46" s="3" t="s">
        <v>150</v>
      </c>
      <c r="J46" s="3" t="s">
        <v>96</v>
      </c>
      <c r="K46" s="3"/>
      <c r="L46" s="3"/>
      <c r="M46" s="3"/>
      <c r="N46" s="11">
        <v>400</v>
      </c>
      <c r="O46" s="3" t="s">
        <v>75</v>
      </c>
      <c r="P46" s="3"/>
      <c r="Q46" s="30">
        <f>H46*4</f>
        <v>10000</v>
      </c>
      <c r="R46" s="3" t="s">
        <v>150</v>
      </c>
      <c r="S46" s="3" t="s">
        <v>27</v>
      </c>
      <c r="T46" s="3"/>
      <c r="U46" s="48">
        <f t="shared" si="0"/>
        <v>7500</v>
      </c>
      <c r="V46" s="48">
        <f t="shared" si="1"/>
        <v>78.125</v>
      </c>
      <c r="W46" s="3"/>
      <c r="X46" s="3"/>
      <c r="Y46" s="3"/>
      <c r="Z46" s="3"/>
      <c r="AA46" s="30"/>
      <c r="AB46" s="3"/>
    </row>
    <row r="47" spans="1:29" x14ac:dyDescent="0.25">
      <c r="A47" s="3" t="s">
        <v>69</v>
      </c>
      <c r="B47" s="41"/>
      <c r="C47" s="11">
        <v>216</v>
      </c>
      <c r="D47" s="11" t="s">
        <v>34</v>
      </c>
      <c r="E47" s="3"/>
      <c r="F47" s="3"/>
      <c r="G47" s="3"/>
      <c r="H47" s="47"/>
      <c r="I47" s="3"/>
      <c r="J47" s="3"/>
      <c r="K47" s="3" t="s">
        <v>154</v>
      </c>
      <c r="L47" s="3"/>
      <c r="M47" s="3"/>
      <c r="N47" s="11"/>
      <c r="O47" s="3"/>
      <c r="P47" s="3"/>
      <c r="Q47" s="30"/>
      <c r="R47" s="3"/>
      <c r="S47" s="3"/>
      <c r="T47" s="3"/>
      <c r="U47" s="48">
        <f t="shared" si="0"/>
        <v>0</v>
      </c>
      <c r="V47" s="48">
        <f t="shared" si="1"/>
        <v>0</v>
      </c>
      <c r="W47" s="3"/>
      <c r="X47" s="3"/>
      <c r="Y47" s="3"/>
      <c r="Z47" s="3"/>
      <c r="AA47" s="30"/>
      <c r="AB47" s="3"/>
    </row>
    <row r="48" spans="1:29" x14ac:dyDescent="0.25">
      <c r="A48" s="3" t="s">
        <v>70</v>
      </c>
      <c r="B48" s="41"/>
      <c r="C48" s="11">
        <v>480</v>
      </c>
      <c r="D48" s="11" t="s">
        <v>34</v>
      </c>
      <c r="E48" s="3"/>
      <c r="F48" s="3"/>
      <c r="G48" s="3"/>
      <c r="H48" s="47"/>
      <c r="I48" s="3"/>
      <c r="J48" s="3"/>
      <c r="K48" s="3" t="s">
        <v>154</v>
      </c>
      <c r="L48" s="3"/>
      <c r="M48" s="3"/>
      <c r="N48" s="11"/>
      <c r="O48" s="3"/>
      <c r="P48" s="3"/>
      <c r="Q48" s="30"/>
      <c r="R48" s="3"/>
      <c r="S48" s="3"/>
      <c r="T48" s="3"/>
      <c r="U48" s="48">
        <f t="shared" si="0"/>
        <v>0</v>
      </c>
      <c r="V48" s="48">
        <f t="shared" si="1"/>
        <v>0</v>
      </c>
      <c r="W48" s="3"/>
      <c r="X48" s="3"/>
      <c r="Y48" s="3"/>
      <c r="Z48" s="3"/>
      <c r="AA48" s="30"/>
      <c r="AB48" s="3"/>
    </row>
    <row r="49" spans="1:29" x14ac:dyDescent="0.25">
      <c r="A49" s="3" t="s">
        <v>71</v>
      </c>
      <c r="B49" s="41"/>
      <c r="C49" s="11">
        <v>900</v>
      </c>
      <c r="D49" s="11" t="s">
        <v>34</v>
      </c>
      <c r="E49" s="3"/>
      <c r="F49" s="3"/>
      <c r="G49" s="3"/>
      <c r="H49" s="47"/>
      <c r="I49" s="3"/>
      <c r="J49" s="3"/>
      <c r="K49" s="3" t="s">
        <v>154</v>
      </c>
      <c r="L49" s="3"/>
      <c r="M49" s="3"/>
      <c r="N49" s="11"/>
      <c r="O49" s="3"/>
      <c r="P49" s="3"/>
      <c r="Q49" s="30"/>
      <c r="R49" s="3"/>
      <c r="S49" s="3"/>
      <c r="T49" s="3"/>
      <c r="U49" s="48">
        <f t="shared" si="0"/>
        <v>0</v>
      </c>
      <c r="V49" s="48">
        <f t="shared" si="1"/>
        <v>0</v>
      </c>
      <c r="W49" s="3"/>
      <c r="X49" s="3"/>
      <c r="Y49" s="3"/>
      <c r="Z49" s="3"/>
      <c r="AA49" s="30"/>
      <c r="AB49" s="3"/>
    </row>
    <row r="50" spans="1:29" x14ac:dyDescent="0.25">
      <c r="A50" s="3" t="s">
        <v>151</v>
      </c>
      <c r="B50" s="40"/>
      <c r="C50" s="11">
        <v>105</v>
      </c>
      <c r="D50" s="11" t="s">
        <v>34</v>
      </c>
      <c r="E50" s="3"/>
      <c r="F50" s="3"/>
      <c r="G50" s="3" t="s">
        <v>79</v>
      </c>
      <c r="H50" s="47">
        <f>C50*500</f>
        <v>52500</v>
      </c>
      <c r="I50" s="3" t="s">
        <v>150</v>
      </c>
      <c r="J50" s="3" t="s">
        <v>97</v>
      </c>
      <c r="K50" s="3" t="s">
        <v>154</v>
      </c>
      <c r="L50" s="3"/>
      <c r="M50" s="3"/>
      <c r="N50" s="11">
        <v>600</v>
      </c>
      <c r="O50" s="3" t="s">
        <v>75</v>
      </c>
      <c r="P50" s="3"/>
      <c r="Q50" s="30">
        <f>H50*6</f>
        <v>315000</v>
      </c>
      <c r="R50" s="3" t="s">
        <v>150</v>
      </c>
      <c r="S50" s="3" t="s">
        <v>118</v>
      </c>
      <c r="T50" s="3"/>
      <c r="U50" s="48">
        <f t="shared" si="0"/>
        <v>262500</v>
      </c>
      <c r="V50" s="48">
        <f t="shared" si="1"/>
        <v>2500</v>
      </c>
      <c r="W50" s="3"/>
      <c r="X50" s="3"/>
      <c r="Y50" s="3">
        <v>2.5499999999999998</v>
      </c>
      <c r="Z50" s="3" t="s">
        <v>146</v>
      </c>
      <c r="AA50" s="30">
        <f>Y50*5.1*315</f>
        <v>4096.5749999999998</v>
      </c>
      <c r="AB50" s="3"/>
    </row>
    <row r="51" spans="1:29" x14ac:dyDescent="0.25">
      <c r="A51" s="3"/>
      <c r="B51" s="3"/>
      <c r="C51" s="11"/>
      <c r="D51" s="11"/>
      <c r="E51" s="3"/>
      <c r="F51" s="3"/>
      <c r="G51" s="3"/>
      <c r="H51" s="47"/>
      <c r="I51" s="3"/>
      <c r="J51" s="3"/>
      <c r="K51" s="3"/>
      <c r="L51" s="3"/>
      <c r="M51" s="3"/>
      <c r="N51" s="11"/>
      <c r="O51" s="3"/>
      <c r="P51" s="3"/>
      <c r="Q51" s="30"/>
      <c r="R51" s="3"/>
      <c r="S51" s="3"/>
      <c r="T51" s="3"/>
      <c r="U51" s="3"/>
      <c r="V51" s="3"/>
      <c r="W51" s="3"/>
      <c r="X51" s="3"/>
      <c r="Y51" s="3"/>
      <c r="Z51" s="3"/>
      <c r="AA51" s="30"/>
      <c r="AB51" s="3"/>
    </row>
    <row r="52" spans="1:29" x14ac:dyDescent="0.25">
      <c r="A52" s="3"/>
      <c r="B52" s="3"/>
      <c r="C52" s="11"/>
      <c r="D52" s="11"/>
      <c r="E52" s="3"/>
      <c r="F52" s="3"/>
      <c r="G52" s="3"/>
      <c r="H52" s="30"/>
      <c r="I52" s="3"/>
      <c r="J52" s="3"/>
      <c r="K52" s="3"/>
      <c r="L52" s="3"/>
      <c r="M52" s="3"/>
      <c r="N52" s="11"/>
      <c r="O52" s="3"/>
      <c r="P52" s="3"/>
      <c r="Q52" s="30"/>
      <c r="R52" s="3"/>
      <c r="S52" s="3"/>
      <c r="T52" s="3"/>
      <c r="U52" s="3"/>
      <c r="V52" s="3"/>
      <c r="W52" s="3"/>
      <c r="X52" s="3"/>
      <c r="Y52" s="3"/>
      <c r="Z52" s="3"/>
      <c r="AA52" s="30"/>
      <c r="AB52" s="3"/>
    </row>
    <row r="53" spans="1:29" x14ac:dyDescent="0.25">
      <c r="A53" s="5" t="s">
        <v>115</v>
      </c>
      <c r="B53" s="3"/>
      <c r="C53" s="11"/>
      <c r="D53" s="11"/>
      <c r="E53" s="3"/>
      <c r="F53" s="3"/>
      <c r="G53" s="3"/>
      <c r="H53" s="37">
        <f>SUM(H6:H51)</f>
        <v>972019.04761904757</v>
      </c>
      <c r="I53" s="3" t="s">
        <v>150</v>
      </c>
      <c r="J53" s="3"/>
      <c r="K53" s="3"/>
      <c r="L53" s="3"/>
      <c r="M53" s="3"/>
      <c r="N53" s="11"/>
      <c r="O53" s="3"/>
      <c r="P53" s="3"/>
      <c r="Q53" s="37">
        <f>SUM(Q6:Q52)</f>
        <v>2002931.8452380951</v>
      </c>
      <c r="R53" s="3" t="s">
        <v>150</v>
      </c>
      <c r="S53" s="3"/>
      <c r="T53" s="3"/>
      <c r="U53" s="49">
        <f>SUM(U6:U52)</f>
        <v>1030912.7976190476</v>
      </c>
      <c r="V53" s="3"/>
      <c r="W53" s="3"/>
      <c r="X53" s="3"/>
      <c r="Y53" s="3"/>
      <c r="Z53" s="3"/>
      <c r="AA53" s="30"/>
      <c r="AB53" s="3"/>
    </row>
    <row r="54" spans="1:29" x14ac:dyDescent="0.25">
      <c r="A54" s="5"/>
      <c r="B54" s="3"/>
      <c r="C54" s="11"/>
      <c r="D54" s="11"/>
      <c r="E54" s="3"/>
      <c r="F54" s="3"/>
      <c r="G54" s="3"/>
      <c r="H54" s="37"/>
      <c r="I54" s="3"/>
      <c r="J54" s="3"/>
      <c r="K54" s="3"/>
      <c r="L54" s="3"/>
      <c r="M54" s="3"/>
      <c r="N54" s="11"/>
      <c r="O54" s="3"/>
      <c r="P54" s="3"/>
      <c r="Q54" s="37"/>
      <c r="R54" s="3"/>
      <c r="S54" s="3"/>
      <c r="T54" s="3"/>
      <c r="U54" s="3"/>
      <c r="V54" s="3"/>
      <c r="W54" s="3"/>
      <c r="X54" s="3"/>
      <c r="Y54" s="3"/>
      <c r="Z54" s="3"/>
      <c r="AA54" s="30"/>
      <c r="AB54" s="3"/>
    </row>
    <row r="55" spans="1:29" ht="18.75" x14ac:dyDescent="0.3">
      <c r="A55" s="24" t="s">
        <v>59</v>
      </c>
      <c r="B55" s="22"/>
      <c r="C55" s="23"/>
      <c r="D55" s="23"/>
      <c r="E55" s="22"/>
      <c r="F55" s="22"/>
      <c r="G55" s="22"/>
      <c r="H55" s="38"/>
      <c r="I55" s="22"/>
      <c r="J55" s="22"/>
      <c r="K55" s="22"/>
      <c r="L55" s="22"/>
      <c r="M55" s="22"/>
      <c r="N55" s="23"/>
      <c r="O55" s="22"/>
      <c r="P55" s="22"/>
      <c r="Q55" s="38"/>
      <c r="R55" s="22"/>
      <c r="S55" s="22"/>
      <c r="T55" s="22"/>
      <c r="U55" s="22"/>
      <c r="V55" s="22"/>
      <c r="W55" s="22"/>
      <c r="X55" s="22"/>
      <c r="Y55" s="22"/>
      <c r="Z55" s="22"/>
      <c r="AA55" s="51">
        <f>SUM(AA6:AA54)</f>
        <v>43012.255000000005</v>
      </c>
      <c r="AB55" s="22"/>
    </row>
    <row r="56" spans="1:29" s="29" customFormat="1" ht="18.75" x14ac:dyDescent="0.3">
      <c r="A56" s="27"/>
      <c r="B56" s="25"/>
      <c r="C56" s="28"/>
      <c r="D56" s="28"/>
      <c r="E56" s="25"/>
      <c r="F56" s="25"/>
      <c r="G56" s="25"/>
      <c r="H56" s="39"/>
      <c r="I56" s="25"/>
      <c r="J56" s="25"/>
      <c r="K56" s="25"/>
      <c r="L56" s="25"/>
      <c r="M56" s="25"/>
      <c r="N56" s="28"/>
      <c r="O56" s="25"/>
      <c r="P56" s="25"/>
      <c r="Q56" s="39"/>
      <c r="R56" s="25"/>
      <c r="S56" s="25"/>
      <c r="T56" s="25"/>
      <c r="U56" s="25"/>
      <c r="V56" s="25"/>
      <c r="W56" s="25"/>
      <c r="X56" s="25"/>
      <c r="Y56" s="25"/>
      <c r="Z56" s="25"/>
      <c r="AA56" s="39"/>
      <c r="AB56" s="25"/>
    </row>
    <row r="57" spans="1:29" ht="30" x14ac:dyDescent="0.25">
      <c r="A57" s="20" t="s">
        <v>0</v>
      </c>
      <c r="B57" s="3"/>
      <c r="C57" s="3"/>
      <c r="D57" s="11"/>
      <c r="E57" s="3"/>
      <c r="F57" s="3"/>
      <c r="G57" s="3"/>
      <c r="H57" s="30"/>
      <c r="I57" s="3"/>
      <c r="J57" s="3"/>
      <c r="K57" s="3"/>
      <c r="L57" s="3"/>
      <c r="M57" s="3"/>
      <c r="N57" s="11"/>
      <c r="O57" s="3"/>
      <c r="P57" s="3"/>
      <c r="Q57" s="30"/>
      <c r="R57" s="3"/>
      <c r="S57" s="3"/>
      <c r="T57" s="3"/>
      <c r="U57" s="3"/>
      <c r="V57" s="3"/>
      <c r="W57" s="3"/>
      <c r="X57" s="3"/>
      <c r="Y57" s="3"/>
      <c r="Z57" s="3"/>
      <c r="AA57" s="30"/>
      <c r="AB57" s="3"/>
    </row>
    <row r="58" spans="1:29" x14ac:dyDescent="0.25">
      <c r="A58" s="21" t="s">
        <v>98</v>
      </c>
      <c r="B58" s="5"/>
      <c r="C58" s="3"/>
      <c r="D58" s="11"/>
      <c r="E58" s="3"/>
      <c r="F58" s="3"/>
      <c r="G58" s="3"/>
      <c r="H58" s="30"/>
      <c r="I58" s="3"/>
      <c r="J58" s="3"/>
      <c r="K58" s="3"/>
      <c r="L58" s="3"/>
      <c r="M58" s="3"/>
      <c r="N58" s="11"/>
      <c r="O58" s="3"/>
      <c r="P58" s="3"/>
      <c r="Q58" s="30"/>
      <c r="R58" s="3"/>
      <c r="S58" s="3"/>
      <c r="T58" s="3"/>
      <c r="U58" s="3"/>
      <c r="V58" s="3"/>
      <c r="W58" s="3"/>
      <c r="X58" s="3"/>
      <c r="Y58" s="3"/>
      <c r="Z58" s="3"/>
      <c r="AA58" s="30"/>
      <c r="AB58" s="3"/>
    </row>
    <row r="59" spans="1:29" ht="18" customHeight="1" x14ac:dyDescent="0.25">
      <c r="A59" s="21" t="s">
        <v>149</v>
      </c>
      <c r="B59" s="40"/>
      <c r="C59" s="3">
        <v>720</v>
      </c>
      <c r="D59" s="11" t="s">
        <v>33</v>
      </c>
      <c r="E59" s="3"/>
      <c r="F59" s="3"/>
      <c r="G59" s="3"/>
      <c r="H59" s="30">
        <f>C59*25</f>
        <v>18000</v>
      </c>
      <c r="I59" s="3" t="s">
        <v>150</v>
      </c>
      <c r="J59" s="3" t="s">
        <v>100</v>
      </c>
      <c r="K59" s="3"/>
      <c r="L59" s="3"/>
      <c r="M59" s="3"/>
      <c r="N59" s="11">
        <v>75</v>
      </c>
      <c r="O59" s="3" t="s">
        <v>75</v>
      </c>
      <c r="P59" s="3"/>
      <c r="Q59" s="30">
        <f>H59*1.75</f>
        <v>31500</v>
      </c>
      <c r="R59" s="3"/>
      <c r="S59" s="3" t="s">
        <v>27</v>
      </c>
      <c r="T59" s="3"/>
      <c r="U59" s="48">
        <f>Q59-H59</f>
        <v>13500</v>
      </c>
      <c r="V59" s="3"/>
      <c r="W59" s="3"/>
      <c r="X59" s="3"/>
      <c r="Y59" s="3">
        <v>-607</v>
      </c>
      <c r="Z59" s="3" t="s">
        <v>125</v>
      </c>
      <c r="AA59" s="30">
        <f>153*Y59</f>
        <v>-92871</v>
      </c>
      <c r="AB59" s="3"/>
      <c r="AC59" s="1" t="s">
        <v>124</v>
      </c>
    </row>
    <row r="60" spans="1:29" x14ac:dyDescent="0.25">
      <c r="A60" s="21" t="s">
        <v>99</v>
      </c>
      <c r="B60" s="40"/>
      <c r="C60" s="3">
        <v>34</v>
      </c>
      <c r="D60" s="11" t="s">
        <v>34</v>
      </c>
      <c r="E60" s="3"/>
      <c r="F60" s="3"/>
      <c r="G60" s="3"/>
      <c r="H60" s="30"/>
      <c r="I60" s="3"/>
      <c r="J60" s="3"/>
      <c r="K60" s="3"/>
      <c r="L60" s="3"/>
      <c r="M60" s="3"/>
      <c r="N60" s="11"/>
      <c r="O60" s="3"/>
      <c r="P60" s="3"/>
      <c r="Q60" s="30"/>
      <c r="R60" s="3"/>
      <c r="S60" s="3"/>
      <c r="T60" s="3"/>
      <c r="U60" s="48">
        <f t="shared" ref="U60:U78" si="4">Q60-H60</f>
        <v>0</v>
      </c>
      <c r="V60" s="3"/>
      <c r="W60" s="3"/>
      <c r="X60" s="3"/>
      <c r="Y60" s="3"/>
      <c r="Z60" s="3"/>
      <c r="AA60" s="30"/>
      <c r="AB60" s="3"/>
    </row>
    <row r="61" spans="1:29" x14ac:dyDescent="0.25">
      <c r="A61" s="21" t="s">
        <v>101</v>
      </c>
      <c r="B61" s="40"/>
      <c r="C61" s="3">
        <v>125</v>
      </c>
      <c r="D61" s="11" t="s">
        <v>33</v>
      </c>
      <c r="E61" s="3" t="s">
        <v>72</v>
      </c>
      <c r="F61" s="3"/>
      <c r="G61" s="3"/>
      <c r="H61" s="30"/>
      <c r="I61" s="3"/>
      <c r="J61" s="3"/>
      <c r="K61" s="3"/>
      <c r="L61" s="3"/>
      <c r="M61" s="3"/>
      <c r="N61" s="11"/>
      <c r="O61" s="3"/>
      <c r="P61" s="3"/>
      <c r="Q61" s="30"/>
      <c r="R61" s="3"/>
      <c r="S61" s="3"/>
      <c r="T61" s="3"/>
      <c r="U61" s="48">
        <f t="shared" si="4"/>
        <v>0</v>
      </c>
      <c r="V61" s="3"/>
      <c r="W61" s="3"/>
      <c r="X61" s="3"/>
      <c r="Y61" s="3"/>
      <c r="Z61" s="3"/>
      <c r="AA61" s="30"/>
      <c r="AB61" s="3"/>
    </row>
    <row r="62" spans="1:29" x14ac:dyDescent="0.25">
      <c r="A62" s="21" t="s">
        <v>102</v>
      </c>
      <c r="B62" s="44"/>
      <c r="C62" s="3">
        <v>390</v>
      </c>
      <c r="D62" s="11" t="s">
        <v>60</v>
      </c>
      <c r="E62" s="3"/>
      <c r="F62" s="3"/>
      <c r="G62" s="3"/>
      <c r="H62" s="30"/>
      <c r="I62" s="3"/>
      <c r="J62" s="3"/>
      <c r="K62" s="3"/>
      <c r="L62" s="3"/>
      <c r="M62" s="3"/>
      <c r="N62" s="11"/>
      <c r="O62" s="3"/>
      <c r="P62" s="3"/>
      <c r="Q62" s="30"/>
      <c r="R62" s="3"/>
      <c r="S62" s="3"/>
      <c r="T62" s="3"/>
      <c r="U62" s="48">
        <f t="shared" si="4"/>
        <v>0</v>
      </c>
      <c r="V62" s="3"/>
      <c r="W62" s="3"/>
      <c r="X62" s="3"/>
      <c r="Y62" s="3"/>
      <c r="Z62" s="3"/>
      <c r="AA62" s="30"/>
      <c r="AB62" s="3"/>
    </row>
    <row r="63" spans="1:29" x14ac:dyDescent="0.25">
      <c r="A63" s="21"/>
      <c r="B63" s="3"/>
      <c r="C63" s="3"/>
      <c r="D63" s="11"/>
      <c r="E63" s="3"/>
      <c r="F63" s="3"/>
      <c r="G63" s="3"/>
      <c r="H63" s="30"/>
      <c r="I63" s="3"/>
      <c r="J63" s="3"/>
      <c r="K63" s="3"/>
      <c r="L63" s="3"/>
      <c r="M63" s="3"/>
      <c r="N63" s="11"/>
      <c r="O63" s="3"/>
      <c r="P63" s="3"/>
      <c r="Q63" s="30"/>
      <c r="R63" s="3"/>
      <c r="S63" s="3"/>
      <c r="T63" s="3"/>
      <c r="U63" s="48">
        <f t="shared" si="4"/>
        <v>0</v>
      </c>
      <c r="V63" s="3"/>
      <c r="W63" s="3"/>
      <c r="X63" s="3"/>
      <c r="Y63" s="3"/>
      <c r="Z63" s="3"/>
      <c r="AA63" s="30"/>
      <c r="AB63" s="3"/>
    </row>
    <row r="64" spans="1:29" x14ac:dyDescent="0.25">
      <c r="A64" s="20" t="s">
        <v>1</v>
      </c>
      <c r="B64" s="3"/>
      <c r="C64" s="3"/>
      <c r="D64" s="11"/>
      <c r="E64" s="3"/>
      <c r="F64" s="3"/>
      <c r="G64" s="3"/>
      <c r="H64" s="30"/>
      <c r="I64" s="3"/>
      <c r="J64" s="3"/>
      <c r="K64" s="3"/>
      <c r="L64" s="3"/>
      <c r="M64" s="3"/>
      <c r="N64" s="11"/>
      <c r="O64" s="3"/>
      <c r="P64" s="3"/>
      <c r="Q64" s="30"/>
      <c r="R64" s="3"/>
      <c r="S64" s="3"/>
      <c r="T64" s="3"/>
      <c r="U64" s="48">
        <f t="shared" si="4"/>
        <v>0</v>
      </c>
      <c r="V64" s="3"/>
      <c r="W64" s="3"/>
      <c r="X64" s="3"/>
      <c r="Y64" s="3"/>
      <c r="Z64" s="3"/>
      <c r="AA64" s="30"/>
      <c r="AB64" s="3"/>
    </row>
    <row r="65" spans="1:29" ht="60" x14ac:dyDescent="0.25">
      <c r="A65" s="21" t="s">
        <v>147</v>
      </c>
      <c r="B65" s="40"/>
      <c r="C65" s="3">
        <v>150</v>
      </c>
      <c r="D65" s="11" t="s">
        <v>60</v>
      </c>
      <c r="E65" s="3" t="s">
        <v>61</v>
      </c>
      <c r="F65" s="3"/>
      <c r="G65" s="3" t="s">
        <v>103</v>
      </c>
      <c r="H65" s="30">
        <f>C65*350</f>
        <v>52500</v>
      </c>
      <c r="I65" s="3" t="s">
        <v>150</v>
      </c>
      <c r="J65" s="3" t="s">
        <v>104</v>
      </c>
      <c r="K65" s="3"/>
      <c r="L65" s="3"/>
      <c r="M65" s="3"/>
      <c r="N65" s="11">
        <v>50</v>
      </c>
      <c r="O65" s="3" t="s">
        <v>75</v>
      </c>
      <c r="P65" s="3"/>
      <c r="Q65" s="30">
        <f>H65*1.5</f>
        <v>78750</v>
      </c>
      <c r="R65" s="3"/>
      <c r="S65" s="3" t="s">
        <v>27</v>
      </c>
      <c r="T65" s="3"/>
      <c r="U65" s="48">
        <f t="shared" si="4"/>
        <v>26250</v>
      </c>
      <c r="V65" s="3"/>
      <c r="W65" s="3"/>
      <c r="X65" s="3"/>
      <c r="Y65" s="3">
        <v>195</v>
      </c>
      <c r="Z65" s="3" t="s">
        <v>126</v>
      </c>
      <c r="AA65" s="30">
        <f>26*Y65</f>
        <v>5070</v>
      </c>
      <c r="AB65" s="3"/>
      <c r="AC65" s="1" t="s">
        <v>127</v>
      </c>
    </row>
    <row r="66" spans="1:29" ht="45" x14ac:dyDescent="0.25">
      <c r="A66" s="21" t="s">
        <v>148</v>
      </c>
      <c r="B66" s="40"/>
      <c r="C66" s="3">
        <v>120</v>
      </c>
      <c r="D66" s="11" t="s">
        <v>60</v>
      </c>
      <c r="E66" s="3" t="s">
        <v>61</v>
      </c>
      <c r="F66" s="3"/>
      <c r="G66" s="3"/>
      <c r="H66" s="30">
        <f>C66*350</f>
        <v>42000</v>
      </c>
      <c r="I66" s="3" t="s">
        <v>150</v>
      </c>
      <c r="J66" s="3"/>
      <c r="K66" s="3"/>
      <c r="L66" s="3"/>
      <c r="M66" s="3"/>
      <c r="N66" s="11">
        <v>50</v>
      </c>
      <c r="O66" s="3" t="s">
        <v>75</v>
      </c>
      <c r="P66" s="3"/>
      <c r="Q66" s="30">
        <f>H66*1.5</f>
        <v>63000</v>
      </c>
      <c r="R66" s="3"/>
      <c r="S66" s="3" t="s">
        <v>27</v>
      </c>
      <c r="T66" s="3"/>
      <c r="U66" s="48">
        <f t="shared" si="4"/>
        <v>21000</v>
      </c>
      <c r="V66" s="3"/>
      <c r="W66" s="3"/>
      <c r="X66" s="3"/>
      <c r="Y66" s="3">
        <v>195</v>
      </c>
      <c r="Z66" s="3" t="s">
        <v>126</v>
      </c>
      <c r="AA66" s="30">
        <f>21*Y66</f>
        <v>4095</v>
      </c>
      <c r="AB66" s="3"/>
      <c r="AC66" s="1" t="s">
        <v>127</v>
      </c>
    </row>
    <row r="67" spans="1:29" x14ac:dyDescent="0.25">
      <c r="A67" s="21"/>
      <c r="B67" s="3"/>
      <c r="C67" s="3"/>
      <c r="D67" s="11"/>
      <c r="E67" s="3"/>
      <c r="F67" s="3"/>
      <c r="G67" s="3"/>
      <c r="H67" s="30"/>
      <c r="I67" s="3"/>
      <c r="J67" s="3"/>
      <c r="K67" s="3"/>
      <c r="L67" s="3"/>
      <c r="M67" s="3"/>
      <c r="N67" s="11"/>
      <c r="O67" s="3"/>
      <c r="P67" s="3"/>
      <c r="Q67" s="30"/>
      <c r="R67" s="3"/>
      <c r="S67" s="3"/>
      <c r="T67" s="3"/>
      <c r="U67" s="48">
        <f t="shared" si="4"/>
        <v>0</v>
      </c>
      <c r="V67" s="3"/>
      <c r="W67" s="3"/>
      <c r="X67" s="3"/>
      <c r="Y67" s="3"/>
      <c r="Z67" s="3"/>
      <c r="AA67" s="30"/>
      <c r="AB67" s="3"/>
    </row>
    <row r="68" spans="1:29" x14ac:dyDescent="0.25">
      <c r="A68" s="20"/>
      <c r="B68" s="3"/>
      <c r="C68" s="3"/>
      <c r="D68" s="11"/>
      <c r="E68" s="3"/>
      <c r="F68" s="3"/>
      <c r="G68" s="3"/>
      <c r="H68" s="30"/>
      <c r="I68" s="3"/>
      <c r="J68" s="3"/>
      <c r="K68" s="3"/>
      <c r="L68" s="3"/>
      <c r="M68" s="3"/>
      <c r="N68" s="11"/>
      <c r="O68" s="3"/>
      <c r="P68" s="3"/>
      <c r="Q68" s="30"/>
      <c r="R68" s="3"/>
      <c r="S68" s="3"/>
      <c r="T68" s="3"/>
      <c r="U68" s="48">
        <f t="shared" si="4"/>
        <v>0</v>
      </c>
      <c r="V68" s="3"/>
      <c r="W68" s="3"/>
      <c r="X68" s="3"/>
      <c r="Y68" s="3"/>
      <c r="Z68" s="3"/>
      <c r="AA68" s="30"/>
      <c r="AB68" s="3"/>
    </row>
    <row r="69" spans="1:29" x14ac:dyDescent="0.25">
      <c r="A69" s="20" t="s">
        <v>2</v>
      </c>
      <c r="B69" s="3"/>
      <c r="C69" s="3"/>
      <c r="D69" s="11"/>
      <c r="E69" s="3"/>
      <c r="F69" s="3"/>
      <c r="G69" s="3"/>
      <c r="H69" s="30"/>
      <c r="I69" s="3"/>
      <c r="J69" s="3"/>
      <c r="K69" s="3"/>
      <c r="L69" s="3"/>
      <c r="M69" s="3"/>
      <c r="N69" s="11"/>
      <c r="O69" s="3"/>
      <c r="P69" s="3"/>
      <c r="Q69" s="30"/>
      <c r="R69" s="3"/>
      <c r="S69" s="3"/>
      <c r="T69" s="3"/>
      <c r="U69" s="48">
        <f t="shared" si="4"/>
        <v>0</v>
      </c>
      <c r="V69" s="3"/>
      <c r="W69" s="3"/>
      <c r="X69" s="3"/>
      <c r="Y69" s="3"/>
      <c r="Z69" s="3"/>
      <c r="AA69" s="30"/>
      <c r="AB69" s="3"/>
    </row>
    <row r="70" spans="1:29" x14ac:dyDescent="0.25">
      <c r="A70" s="21" t="s">
        <v>26</v>
      </c>
      <c r="B70" s="3"/>
      <c r="C70" s="3">
        <v>564</v>
      </c>
      <c r="D70" s="11" t="s">
        <v>33</v>
      </c>
      <c r="E70" s="3"/>
      <c r="F70" s="3"/>
      <c r="G70" s="3"/>
      <c r="H70" s="30"/>
      <c r="I70" s="3"/>
      <c r="J70" s="3"/>
      <c r="K70" s="3"/>
      <c r="L70" s="3"/>
      <c r="M70" s="3"/>
      <c r="N70" s="11"/>
      <c r="O70" s="3"/>
      <c r="P70" s="3"/>
      <c r="Q70" s="30"/>
      <c r="R70" s="3"/>
      <c r="S70" s="3"/>
      <c r="T70" s="3"/>
      <c r="U70" s="48">
        <f t="shared" si="4"/>
        <v>0</v>
      </c>
      <c r="V70" s="3"/>
      <c r="W70" s="3"/>
      <c r="X70" s="3"/>
      <c r="Y70" s="3"/>
      <c r="Z70" s="3"/>
      <c r="AA70" s="30"/>
      <c r="AB70" s="3"/>
    </row>
    <row r="71" spans="1:29" x14ac:dyDescent="0.25">
      <c r="A71" s="20"/>
      <c r="B71" s="3"/>
      <c r="C71" s="3"/>
      <c r="D71" s="11"/>
      <c r="E71" s="3"/>
      <c r="F71" s="3"/>
      <c r="G71" s="3"/>
      <c r="H71" s="30"/>
      <c r="I71" s="3"/>
      <c r="J71" s="3"/>
      <c r="K71" s="3"/>
      <c r="L71" s="3"/>
      <c r="M71" s="3"/>
      <c r="N71" s="11"/>
      <c r="O71" s="3"/>
      <c r="P71" s="3"/>
      <c r="Q71" s="30"/>
      <c r="R71" s="3"/>
      <c r="S71" s="3"/>
      <c r="T71" s="3"/>
      <c r="U71" s="48">
        <f t="shared" si="4"/>
        <v>0</v>
      </c>
      <c r="V71" s="3"/>
      <c r="W71" s="3"/>
      <c r="X71" s="3"/>
      <c r="Y71" s="3"/>
      <c r="Z71" s="3"/>
      <c r="AA71" s="30"/>
      <c r="AB71" s="3"/>
    </row>
    <row r="72" spans="1:29" x14ac:dyDescent="0.25">
      <c r="A72" s="20" t="s">
        <v>3</v>
      </c>
      <c r="B72" s="3"/>
      <c r="C72" s="3"/>
      <c r="D72" s="11"/>
      <c r="E72" s="3"/>
      <c r="F72" s="3"/>
      <c r="G72" s="3"/>
      <c r="H72" s="30"/>
      <c r="I72" s="3"/>
      <c r="J72" s="3"/>
      <c r="K72" s="3"/>
      <c r="L72" s="3"/>
      <c r="M72" s="3"/>
      <c r="N72" s="11"/>
      <c r="O72" s="3"/>
      <c r="P72" s="3"/>
      <c r="Q72" s="30"/>
      <c r="R72" s="3"/>
      <c r="S72" s="3"/>
      <c r="T72" s="3"/>
      <c r="U72" s="48">
        <f t="shared" si="4"/>
        <v>0</v>
      </c>
      <c r="V72" s="3"/>
      <c r="W72" s="3"/>
      <c r="X72" s="3"/>
      <c r="Y72" s="3"/>
      <c r="Z72" s="3"/>
      <c r="AA72" s="30"/>
      <c r="AB72" s="3"/>
    </row>
    <row r="73" spans="1:29" ht="21" customHeight="1" x14ac:dyDescent="0.25">
      <c r="A73" s="21" t="s">
        <v>62</v>
      </c>
      <c r="B73" s="41"/>
      <c r="C73" s="3">
        <v>6</v>
      </c>
      <c r="D73" s="11" t="s">
        <v>34</v>
      </c>
      <c r="E73" s="3"/>
      <c r="F73" s="3"/>
      <c r="G73" s="3" t="s">
        <v>114</v>
      </c>
      <c r="H73" s="30">
        <f>C73*400</f>
        <v>2400</v>
      </c>
      <c r="I73" s="3" t="s">
        <v>150</v>
      </c>
      <c r="J73" s="3" t="s">
        <v>85</v>
      </c>
      <c r="K73" s="3"/>
      <c r="L73" s="3"/>
      <c r="M73" s="3"/>
      <c r="N73" s="11">
        <v>15</v>
      </c>
      <c r="O73" s="3" t="s">
        <v>75</v>
      </c>
      <c r="P73" s="3"/>
      <c r="Q73" s="30">
        <f>H73*1.15</f>
        <v>2760</v>
      </c>
      <c r="R73" s="3"/>
      <c r="S73" s="3" t="s">
        <v>27</v>
      </c>
      <c r="T73" s="3"/>
      <c r="U73" s="48">
        <f t="shared" si="4"/>
        <v>360</v>
      </c>
      <c r="V73" s="3"/>
      <c r="W73" s="3"/>
      <c r="X73" s="3"/>
      <c r="Y73" s="3">
        <v>100</v>
      </c>
      <c r="Z73" s="3" t="s">
        <v>133</v>
      </c>
      <c r="AA73" s="30">
        <f>Y73*C73</f>
        <v>600</v>
      </c>
      <c r="AB73" s="3"/>
      <c r="AC73" s="1" t="s">
        <v>132</v>
      </c>
    </row>
    <row r="74" spans="1:29" ht="21" customHeight="1" x14ac:dyDescent="0.25">
      <c r="A74" s="21" t="s">
        <v>63</v>
      </c>
      <c r="B74" s="41"/>
      <c r="C74" s="3">
        <v>12</v>
      </c>
      <c r="D74" s="11" t="s">
        <v>34</v>
      </c>
      <c r="E74" s="3"/>
      <c r="F74" s="3"/>
      <c r="G74" s="3" t="s">
        <v>114</v>
      </c>
      <c r="H74" s="30">
        <f t="shared" ref="H74:H75" si="5">C74*400</f>
        <v>4800</v>
      </c>
      <c r="I74" s="3" t="s">
        <v>150</v>
      </c>
      <c r="J74" s="3" t="s">
        <v>85</v>
      </c>
      <c r="K74" s="3"/>
      <c r="L74" s="3"/>
      <c r="M74" s="3"/>
      <c r="N74" s="11">
        <v>15</v>
      </c>
      <c r="O74" s="3" t="s">
        <v>75</v>
      </c>
      <c r="P74" s="3"/>
      <c r="Q74" s="30">
        <f t="shared" ref="Q74:Q78" si="6">H74*1.15</f>
        <v>5520</v>
      </c>
      <c r="R74" s="3"/>
      <c r="S74" s="3" t="s">
        <v>27</v>
      </c>
      <c r="T74" s="3"/>
      <c r="U74" s="48">
        <f t="shared" si="4"/>
        <v>720</v>
      </c>
      <c r="V74" s="3"/>
      <c r="W74" s="3"/>
      <c r="X74" s="3"/>
      <c r="Y74" s="3">
        <v>100</v>
      </c>
      <c r="Z74" s="3" t="s">
        <v>133</v>
      </c>
      <c r="AA74" s="30">
        <f>Y74*C74</f>
        <v>1200</v>
      </c>
      <c r="AB74" s="3"/>
      <c r="AC74" s="1" t="s">
        <v>132</v>
      </c>
    </row>
    <row r="75" spans="1:29" ht="18" customHeight="1" x14ac:dyDescent="0.25">
      <c r="A75" s="21" t="s">
        <v>64</v>
      </c>
      <c r="B75" s="41"/>
      <c r="C75" s="3">
        <v>6</v>
      </c>
      <c r="D75" s="11" t="s">
        <v>34</v>
      </c>
      <c r="E75" s="3"/>
      <c r="F75" s="3"/>
      <c r="G75" s="3" t="s">
        <v>114</v>
      </c>
      <c r="H75" s="30">
        <f t="shared" si="5"/>
        <v>2400</v>
      </c>
      <c r="I75" s="3" t="s">
        <v>150</v>
      </c>
      <c r="J75" s="3" t="s">
        <v>85</v>
      </c>
      <c r="K75" s="3"/>
      <c r="L75" s="3"/>
      <c r="M75" s="3"/>
      <c r="N75" s="11">
        <v>15</v>
      </c>
      <c r="O75" s="3" t="s">
        <v>75</v>
      </c>
      <c r="P75" s="3"/>
      <c r="Q75" s="30">
        <f t="shared" si="6"/>
        <v>2760</v>
      </c>
      <c r="R75" s="3"/>
      <c r="S75" s="3" t="s">
        <v>27</v>
      </c>
      <c r="T75" s="3"/>
      <c r="U75" s="48">
        <f t="shared" si="4"/>
        <v>360</v>
      </c>
      <c r="V75" s="3"/>
      <c r="W75" s="3"/>
      <c r="X75" s="3"/>
      <c r="Y75" s="3">
        <v>100</v>
      </c>
      <c r="Z75" s="3" t="s">
        <v>133</v>
      </c>
      <c r="AA75" s="30">
        <f t="shared" ref="AA75:AA78" si="7">Y75*C75</f>
        <v>600</v>
      </c>
      <c r="AB75" s="3"/>
      <c r="AC75" s="1" t="s">
        <v>132</v>
      </c>
    </row>
    <row r="76" spans="1:29" ht="18" customHeight="1" x14ac:dyDescent="0.25">
      <c r="A76" s="21" t="s">
        <v>65</v>
      </c>
      <c r="B76" s="41"/>
      <c r="C76" s="3">
        <v>6</v>
      </c>
      <c r="D76" s="11" t="s">
        <v>34</v>
      </c>
      <c r="E76" s="3"/>
      <c r="F76" s="3"/>
      <c r="G76" s="3" t="s">
        <v>114</v>
      </c>
      <c r="H76" s="30">
        <f>C76*300</f>
        <v>1800</v>
      </c>
      <c r="I76" s="3" t="s">
        <v>150</v>
      </c>
      <c r="J76" s="3" t="s">
        <v>85</v>
      </c>
      <c r="K76" s="3"/>
      <c r="L76" s="3"/>
      <c r="M76" s="3"/>
      <c r="N76" s="11">
        <v>15</v>
      </c>
      <c r="O76" s="3" t="s">
        <v>75</v>
      </c>
      <c r="P76" s="3"/>
      <c r="Q76" s="30">
        <f t="shared" si="6"/>
        <v>2070</v>
      </c>
      <c r="R76" s="3"/>
      <c r="S76" s="3" t="s">
        <v>27</v>
      </c>
      <c r="T76" s="3"/>
      <c r="U76" s="48">
        <f t="shared" si="4"/>
        <v>270</v>
      </c>
      <c r="V76" s="3"/>
      <c r="W76" s="3"/>
      <c r="X76" s="3"/>
      <c r="Y76" s="3">
        <v>100</v>
      </c>
      <c r="Z76" s="3" t="s">
        <v>133</v>
      </c>
      <c r="AA76" s="30">
        <f t="shared" si="7"/>
        <v>600</v>
      </c>
      <c r="AB76" s="3"/>
      <c r="AC76" s="1" t="s">
        <v>132</v>
      </c>
    </row>
    <row r="77" spans="1:29" ht="15.95" customHeight="1" x14ac:dyDescent="0.25">
      <c r="A77" s="21" t="s">
        <v>56</v>
      </c>
      <c r="B77" s="41"/>
      <c r="C77" s="3">
        <v>6</v>
      </c>
      <c r="D77" s="11" t="s">
        <v>34</v>
      </c>
      <c r="E77" s="3"/>
      <c r="F77" s="3"/>
      <c r="G77" s="3" t="s">
        <v>114</v>
      </c>
      <c r="H77" s="30">
        <f>C77*700</f>
        <v>4200</v>
      </c>
      <c r="I77" s="3" t="s">
        <v>150</v>
      </c>
      <c r="J77" s="3" t="s">
        <v>85</v>
      </c>
      <c r="K77" s="3"/>
      <c r="L77" s="3"/>
      <c r="M77" s="3"/>
      <c r="N77" s="11">
        <v>15</v>
      </c>
      <c r="O77" s="3" t="s">
        <v>75</v>
      </c>
      <c r="P77" s="3"/>
      <c r="Q77" s="30">
        <f t="shared" si="6"/>
        <v>4830</v>
      </c>
      <c r="R77" s="3"/>
      <c r="S77" s="3" t="s">
        <v>27</v>
      </c>
      <c r="T77" s="3"/>
      <c r="U77" s="48">
        <f t="shared" si="4"/>
        <v>630</v>
      </c>
      <c r="V77" s="3"/>
      <c r="W77" s="3"/>
      <c r="X77" s="3"/>
      <c r="Y77" s="3">
        <v>8</v>
      </c>
      <c r="Z77" s="3" t="s">
        <v>134</v>
      </c>
      <c r="AA77" s="30">
        <f t="shared" si="7"/>
        <v>48</v>
      </c>
      <c r="AB77" s="3"/>
      <c r="AC77" s="1" t="s">
        <v>135</v>
      </c>
    </row>
    <row r="78" spans="1:29" ht="12.95" customHeight="1" x14ac:dyDescent="0.25">
      <c r="A78" s="21" t="s">
        <v>57</v>
      </c>
      <c r="B78" s="41"/>
      <c r="C78" s="3">
        <v>42</v>
      </c>
      <c r="D78" s="11" t="s">
        <v>34</v>
      </c>
      <c r="E78" s="3"/>
      <c r="F78" s="3"/>
      <c r="G78" s="3" t="s">
        <v>114</v>
      </c>
      <c r="H78" s="30">
        <f>C78*300</f>
        <v>12600</v>
      </c>
      <c r="I78" s="3" t="s">
        <v>150</v>
      </c>
      <c r="J78" s="3" t="s">
        <v>85</v>
      </c>
      <c r="K78" s="3"/>
      <c r="L78" s="3"/>
      <c r="M78" s="3"/>
      <c r="N78" s="11">
        <v>15</v>
      </c>
      <c r="O78" s="3" t="s">
        <v>75</v>
      </c>
      <c r="P78" s="3"/>
      <c r="Q78" s="30">
        <f t="shared" si="6"/>
        <v>14489.999999999998</v>
      </c>
      <c r="R78" s="3"/>
      <c r="S78" s="3" t="s">
        <v>27</v>
      </c>
      <c r="T78" s="3"/>
      <c r="U78" s="48">
        <f t="shared" si="4"/>
        <v>1889.9999999999982</v>
      </c>
      <c r="V78" s="3"/>
      <c r="W78" s="3"/>
      <c r="X78" s="3"/>
      <c r="Y78" s="3">
        <v>-48</v>
      </c>
      <c r="Z78" s="3" t="s">
        <v>134</v>
      </c>
      <c r="AA78" s="30">
        <f t="shared" si="7"/>
        <v>-2016</v>
      </c>
      <c r="AB78" s="3"/>
      <c r="AC78" s="1" t="s">
        <v>135</v>
      </c>
    </row>
    <row r="79" spans="1:29" x14ac:dyDescent="0.25">
      <c r="A79" s="21" t="s">
        <v>105</v>
      </c>
      <c r="B79" s="3"/>
      <c r="C79" s="3">
        <v>30</v>
      </c>
      <c r="D79" s="11" t="s">
        <v>34</v>
      </c>
      <c r="E79" s="3"/>
      <c r="F79" s="3"/>
      <c r="G79" s="3"/>
      <c r="H79" s="30"/>
      <c r="I79" s="3"/>
      <c r="J79" s="3"/>
      <c r="K79" s="3"/>
      <c r="L79" s="3"/>
      <c r="M79" s="3"/>
      <c r="N79" s="11"/>
      <c r="O79" s="3"/>
      <c r="P79" s="3"/>
      <c r="Q79" s="30"/>
      <c r="R79" s="3"/>
      <c r="S79" s="3"/>
      <c r="T79" s="3"/>
      <c r="U79" s="48"/>
      <c r="V79" s="3"/>
      <c r="W79" s="3"/>
      <c r="X79" s="3"/>
      <c r="Y79" s="3"/>
      <c r="Z79" s="3"/>
      <c r="AA79" s="30"/>
      <c r="AB79" s="3"/>
    </row>
    <row r="80" spans="1:29" x14ac:dyDescent="0.25">
      <c r="A80" s="20"/>
      <c r="B80" s="3"/>
      <c r="C80" s="3"/>
      <c r="D80" s="11"/>
      <c r="E80" s="3"/>
      <c r="F80" s="3"/>
      <c r="G80" s="3"/>
      <c r="H80" s="30"/>
      <c r="I80" s="3"/>
      <c r="J80" s="3"/>
      <c r="K80" s="3"/>
      <c r="L80" s="3"/>
      <c r="M80" s="3"/>
      <c r="N80" s="11"/>
      <c r="O80" s="3"/>
      <c r="P80" s="3"/>
      <c r="Q80" s="32"/>
      <c r="R80" s="3"/>
      <c r="S80" s="3"/>
      <c r="T80" s="3"/>
      <c r="U80" s="48"/>
      <c r="V80" s="3"/>
      <c r="W80" s="3"/>
      <c r="X80" s="3"/>
      <c r="Y80" s="3"/>
      <c r="Z80" s="3"/>
      <c r="AA80" s="30"/>
      <c r="AB80" s="3"/>
    </row>
    <row r="81" spans="1:28" x14ac:dyDescent="0.25">
      <c r="A81" s="20" t="s">
        <v>4</v>
      </c>
      <c r="B81" s="3"/>
      <c r="C81" s="3"/>
      <c r="D81" s="11"/>
      <c r="E81" s="3"/>
      <c r="F81" s="3"/>
      <c r="G81" s="3"/>
      <c r="H81" s="30"/>
      <c r="I81" s="3"/>
      <c r="J81" s="3"/>
      <c r="K81" s="3"/>
      <c r="L81" s="3"/>
      <c r="M81" s="3"/>
      <c r="N81" s="11"/>
      <c r="O81" s="3"/>
      <c r="P81" s="3"/>
      <c r="Q81" s="32"/>
      <c r="R81" s="3"/>
      <c r="S81" s="3"/>
      <c r="T81" s="3"/>
      <c r="U81" s="48"/>
      <c r="V81" s="3"/>
      <c r="W81" s="3"/>
      <c r="X81" s="3"/>
      <c r="Y81" s="3"/>
      <c r="Z81" s="3"/>
      <c r="AA81" s="30"/>
      <c r="AB81" s="3"/>
    </row>
    <row r="82" spans="1:28" x14ac:dyDescent="0.25">
      <c r="A82" s="21" t="s">
        <v>106</v>
      </c>
      <c r="B82" s="3"/>
      <c r="C82" s="3">
        <v>250</v>
      </c>
      <c r="D82" s="11" t="s">
        <v>60</v>
      </c>
      <c r="E82" s="3"/>
      <c r="F82" s="3"/>
      <c r="G82" s="3"/>
      <c r="H82" s="30"/>
      <c r="I82" s="3"/>
      <c r="J82" s="3"/>
      <c r="K82" s="3"/>
      <c r="L82" s="3"/>
      <c r="M82" s="3"/>
      <c r="N82" s="11"/>
      <c r="O82" s="3"/>
      <c r="P82" s="3"/>
      <c r="Q82" s="32"/>
      <c r="R82" s="3"/>
      <c r="S82" s="3"/>
      <c r="T82" s="3"/>
      <c r="U82" s="48"/>
      <c r="V82" s="3"/>
      <c r="W82" s="3"/>
      <c r="X82" s="3"/>
      <c r="Y82" s="3"/>
      <c r="Z82" s="3"/>
      <c r="AA82" s="30"/>
      <c r="AB82" s="3"/>
    </row>
    <row r="83" spans="1:28" x14ac:dyDescent="0.25">
      <c r="A83" s="21" t="s">
        <v>107</v>
      </c>
      <c r="B83" s="3"/>
      <c r="C83" s="3">
        <v>30</v>
      </c>
      <c r="D83" s="11" t="s">
        <v>60</v>
      </c>
      <c r="E83" s="3"/>
      <c r="F83" s="3"/>
      <c r="G83" s="3"/>
      <c r="H83" s="30"/>
      <c r="I83" s="3"/>
      <c r="J83" s="3"/>
      <c r="K83" s="3"/>
      <c r="L83" s="3"/>
      <c r="M83" s="3"/>
      <c r="N83" s="11"/>
      <c r="O83" s="3"/>
      <c r="P83" s="3"/>
      <c r="Q83" s="32"/>
      <c r="R83" s="3"/>
      <c r="S83" s="3"/>
      <c r="T83" s="3"/>
      <c r="U83" s="48"/>
      <c r="V83" s="3"/>
      <c r="W83" s="3"/>
      <c r="X83" s="3"/>
      <c r="Y83" s="3"/>
      <c r="Z83" s="3"/>
      <c r="AA83" s="30"/>
      <c r="AB83" s="3"/>
    </row>
    <row r="84" spans="1:28" x14ac:dyDescent="0.25">
      <c r="A84" s="21" t="s">
        <v>108</v>
      </c>
      <c r="B84" s="3"/>
      <c r="C84" s="3">
        <v>280</v>
      </c>
      <c r="D84" s="11" t="s">
        <v>60</v>
      </c>
      <c r="E84" s="3"/>
      <c r="F84" s="3"/>
      <c r="G84" s="3"/>
      <c r="H84" s="30"/>
      <c r="I84" s="3"/>
      <c r="J84" s="3"/>
      <c r="K84" s="3"/>
      <c r="L84" s="3"/>
      <c r="M84" s="3"/>
      <c r="N84" s="11"/>
      <c r="O84" s="3"/>
      <c r="P84" s="3"/>
      <c r="Q84" s="32"/>
      <c r="R84" s="3"/>
      <c r="S84" s="3"/>
      <c r="T84" s="3"/>
      <c r="U84" s="48"/>
      <c r="V84" s="3"/>
      <c r="W84" s="3"/>
      <c r="X84" s="3"/>
      <c r="Y84" s="3"/>
      <c r="Z84" s="3"/>
      <c r="AA84" s="30"/>
      <c r="AB84" s="3"/>
    </row>
    <row r="85" spans="1:28" x14ac:dyDescent="0.25">
      <c r="A85" s="20"/>
      <c r="B85" s="3"/>
      <c r="C85" s="3"/>
      <c r="D85" s="11"/>
      <c r="E85" s="3"/>
      <c r="F85" s="3"/>
      <c r="G85" s="3"/>
      <c r="H85" s="30"/>
      <c r="I85" s="3"/>
      <c r="J85" s="3"/>
      <c r="K85" s="3"/>
      <c r="L85" s="3"/>
      <c r="M85" s="3"/>
      <c r="N85" s="11"/>
      <c r="O85" s="3"/>
      <c r="P85" s="3"/>
      <c r="Q85" s="32"/>
      <c r="R85" s="3"/>
      <c r="S85" s="3"/>
      <c r="T85" s="3"/>
      <c r="U85" s="48"/>
      <c r="V85" s="3"/>
      <c r="W85" s="3"/>
      <c r="X85" s="3"/>
      <c r="Y85" s="3"/>
      <c r="Z85" s="3"/>
      <c r="AA85" s="30"/>
      <c r="AB85" s="3"/>
    </row>
    <row r="86" spans="1:28" x14ac:dyDescent="0.25">
      <c r="A86" s="20" t="s">
        <v>5</v>
      </c>
      <c r="B86" s="3"/>
      <c r="C86" s="3"/>
      <c r="D86" s="11"/>
      <c r="E86" s="3"/>
      <c r="F86" s="3"/>
      <c r="G86" s="3"/>
      <c r="H86" s="30"/>
      <c r="I86" s="3"/>
      <c r="J86" s="3"/>
      <c r="K86" s="3"/>
      <c r="L86" s="3"/>
      <c r="M86" s="3"/>
      <c r="N86" s="11"/>
      <c r="O86" s="3"/>
      <c r="P86" s="3"/>
      <c r="Q86" s="32"/>
      <c r="R86" s="3"/>
      <c r="S86" s="3"/>
      <c r="T86" s="3"/>
      <c r="U86" s="48"/>
      <c r="V86" s="3"/>
      <c r="W86" s="3"/>
      <c r="X86" s="3"/>
      <c r="Y86" s="3"/>
      <c r="Z86" s="3"/>
      <c r="AA86" s="30"/>
      <c r="AB86" s="3"/>
    </row>
    <row r="87" spans="1:28" x14ac:dyDescent="0.25">
      <c r="A87" s="21" t="s">
        <v>109</v>
      </c>
      <c r="B87" s="3"/>
      <c r="C87" s="3">
        <v>227</v>
      </c>
      <c r="D87" s="11" t="s">
        <v>60</v>
      </c>
      <c r="E87" s="3"/>
      <c r="F87" s="3"/>
      <c r="G87" s="3"/>
      <c r="H87" s="30"/>
      <c r="I87" s="3"/>
      <c r="J87" s="3"/>
      <c r="K87" s="3"/>
      <c r="L87" s="3"/>
      <c r="M87" s="3"/>
      <c r="N87" s="11"/>
      <c r="O87" s="3"/>
      <c r="P87" s="3"/>
      <c r="Q87" s="32"/>
      <c r="R87" s="3"/>
      <c r="S87" s="3"/>
      <c r="T87" s="3"/>
      <c r="U87" s="48"/>
      <c r="V87" s="3"/>
      <c r="W87" s="3"/>
      <c r="X87" s="3"/>
      <c r="Y87" s="3"/>
      <c r="Z87" s="3"/>
      <c r="AA87" s="30"/>
      <c r="AB87" s="3"/>
    </row>
    <row r="88" spans="1:28" x14ac:dyDescent="0.25">
      <c r="A88" s="21" t="s">
        <v>110</v>
      </c>
      <c r="B88" s="3"/>
      <c r="C88" s="3">
        <v>120</v>
      </c>
      <c r="D88" s="11" t="s">
        <v>60</v>
      </c>
      <c r="E88" s="3"/>
      <c r="F88" s="3"/>
      <c r="G88" s="3"/>
      <c r="H88" s="30"/>
      <c r="I88" s="3"/>
      <c r="J88" s="3"/>
      <c r="K88" s="3"/>
      <c r="L88" s="3"/>
      <c r="M88" s="3"/>
      <c r="N88" s="11"/>
      <c r="O88" s="3"/>
      <c r="P88" s="3"/>
      <c r="Q88" s="32"/>
      <c r="R88" s="3"/>
      <c r="S88" s="3"/>
      <c r="T88" s="3"/>
      <c r="U88" s="48"/>
      <c r="V88" s="3"/>
      <c r="W88" s="3"/>
      <c r="X88" s="3"/>
      <c r="Y88" s="3"/>
      <c r="Z88" s="3"/>
      <c r="AA88" s="30"/>
      <c r="AB88" s="3"/>
    </row>
    <row r="89" spans="1:28" x14ac:dyDescent="0.25">
      <c r="A89" s="20"/>
      <c r="B89" s="3"/>
      <c r="C89" s="3"/>
      <c r="D89" s="11"/>
      <c r="E89" s="3"/>
      <c r="F89" s="3"/>
      <c r="G89" s="3"/>
      <c r="H89" s="30"/>
      <c r="I89" s="3"/>
      <c r="J89" s="3"/>
      <c r="K89" s="3"/>
      <c r="L89" s="3"/>
      <c r="M89" s="3"/>
      <c r="N89" s="11"/>
      <c r="O89" s="3"/>
      <c r="P89" s="3"/>
      <c r="Q89" s="32"/>
      <c r="R89" s="3"/>
      <c r="S89" s="3"/>
      <c r="T89" s="3"/>
      <c r="U89" s="48"/>
      <c r="V89" s="3"/>
      <c r="W89" s="3"/>
      <c r="X89" s="3"/>
      <c r="Y89" s="3"/>
      <c r="Z89" s="3"/>
      <c r="AA89" s="30"/>
      <c r="AB89" s="3"/>
    </row>
    <row r="90" spans="1:28" x14ac:dyDescent="0.25">
      <c r="A90" s="20" t="s">
        <v>6</v>
      </c>
      <c r="B90" s="3"/>
      <c r="C90" s="3"/>
      <c r="D90" s="11"/>
      <c r="E90" s="3"/>
      <c r="F90" s="3"/>
      <c r="G90" s="3"/>
      <c r="H90" s="30"/>
      <c r="I90" s="3"/>
      <c r="J90" s="3"/>
      <c r="K90" s="3"/>
      <c r="L90" s="3"/>
      <c r="M90" s="3"/>
      <c r="N90" s="11"/>
      <c r="O90" s="3"/>
      <c r="P90" s="3"/>
      <c r="Q90" s="32"/>
      <c r="R90" s="3"/>
      <c r="S90" s="3"/>
      <c r="T90" s="3"/>
      <c r="U90" s="48"/>
      <c r="V90" s="3"/>
      <c r="W90" s="3"/>
      <c r="X90" s="3"/>
      <c r="Y90" s="3"/>
      <c r="Z90" s="3"/>
      <c r="AA90" s="30"/>
      <c r="AB90" s="3"/>
    </row>
    <row r="91" spans="1:28" ht="23.45" customHeight="1" x14ac:dyDescent="0.25">
      <c r="A91" s="21" t="s">
        <v>112</v>
      </c>
      <c r="B91" s="3"/>
      <c r="C91" s="3">
        <v>500</v>
      </c>
      <c r="D91" s="11" t="s">
        <v>60</v>
      </c>
      <c r="E91" s="3"/>
      <c r="F91" s="3"/>
      <c r="G91" s="3"/>
      <c r="H91" s="52"/>
      <c r="I91" s="3"/>
      <c r="J91" s="3" t="s">
        <v>111</v>
      </c>
      <c r="K91" s="3"/>
      <c r="L91" s="3"/>
      <c r="M91" s="3"/>
      <c r="N91" s="11"/>
      <c r="O91" s="3"/>
      <c r="P91" s="3"/>
      <c r="Q91" s="32"/>
      <c r="R91" s="3"/>
      <c r="S91" s="3"/>
      <c r="T91" s="3"/>
      <c r="U91" s="48"/>
      <c r="V91" s="3"/>
      <c r="W91" s="3"/>
      <c r="X91" s="3"/>
      <c r="Y91" s="3"/>
      <c r="Z91" s="3"/>
      <c r="AA91" s="30"/>
      <c r="AB91" s="3"/>
    </row>
    <row r="92" spans="1:28" x14ac:dyDescent="0.25">
      <c r="A92" s="21"/>
      <c r="B92" s="3"/>
      <c r="C92" s="3"/>
      <c r="D92" s="11"/>
      <c r="E92" s="3"/>
      <c r="F92" s="3"/>
      <c r="G92" s="3"/>
      <c r="H92" s="30"/>
      <c r="I92" s="3"/>
      <c r="J92" s="3"/>
      <c r="K92" s="3"/>
      <c r="L92" s="3"/>
      <c r="M92" s="3"/>
      <c r="N92" s="11"/>
      <c r="O92" s="3"/>
      <c r="P92" s="3"/>
      <c r="Q92" s="32"/>
      <c r="R92" s="3"/>
      <c r="S92" s="3"/>
      <c r="T92" s="3"/>
      <c r="U92" s="48"/>
      <c r="V92" s="3"/>
      <c r="W92" s="3"/>
      <c r="X92" s="3"/>
      <c r="Y92" s="3"/>
      <c r="Z92" s="3"/>
      <c r="AA92" s="30"/>
      <c r="AB92" s="3"/>
    </row>
    <row r="93" spans="1:28" x14ac:dyDescent="0.25">
      <c r="A93" s="20"/>
      <c r="B93" s="3"/>
      <c r="C93" s="3"/>
      <c r="D93" s="11"/>
      <c r="E93" s="3"/>
      <c r="F93" s="3"/>
      <c r="G93" s="3"/>
      <c r="H93" s="30"/>
      <c r="I93" s="3"/>
      <c r="J93" s="3"/>
      <c r="K93" s="3"/>
      <c r="L93" s="3"/>
      <c r="M93" s="3"/>
      <c r="N93" s="11"/>
      <c r="O93" s="3"/>
      <c r="P93" s="3"/>
      <c r="Q93" s="32"/>
      <c r="R93" s="3"/>
      <c r="S93" s="3"/>
      <c r="T93" s="3"/>
      <c r="U93" s="48"/>
      <c r="V93" s="3"/>
      <c r="W93" s="3"/>
      <c r="X93" s="3"/>
      <c r="Y93" s="3"/>
      <c r="Z93" s="3"/>
      <c r="AA93" s="30"/>
      <c r="AB93" s="3"/>
    </row>
    <row r="94" spans="1:28" x14ac:dyDescent="0.25">
      <c r="A94" s="20" t="s">
        <v>7</v>
      </c>
      <c r="B94" s="3"/>
      <c r="C94" s="3"/>
      <c r="D94" s="11"/>
      <c r="E94" s="3"/>
      <c r="F94" s="3"/>
      <c r="G94" s="3"/>
      <c r="H94" s="30"/>
      <c r="I94" s="3"/>
      <c r="J94" s="3"/>
      <c r="K94" s="3"/>
      <c r="L94" s="3"/>
      <c r="M94" s="3"/>
      <c r="N94" s="11"/>
      <c r="O94" s="3"/>
      <c r="P94" s="3"/>
      <c r="Q94" s="32"/>
      <c r="R94" s="3"/>
      <c r="S94" s="3"/>
      <c r="T94" s="3"/>
      <c r="U94" s="48"/>
      <c r="V94" s="3"/>
      <c r="W94" s="3"/>
      <c r="X94" s="3"/>
      <c r="Y94" s="3"/>
      <c r="Z94" s="3"/>
      <c r="AA94" s="30"/>
      <c r="AB94" s="3"/>
    </row>
    <row r="95" spans="1:28" x14ac:dyDescent="0.25">
      <c r="A95" s="20"/>
      <c r="B95" s="3"/>
      <c r="C95" s="3"/>
      <c r="D95" s="11"/>
      <c r="E95" s="3"/>
      <c r="F95" s="3"/>
      <c r="G95" s="3"/>
      <c r="H95" s="30"/>
      <c r="I95" s="3"/>
      <c r="J95" s="3"/>
      <c r="K95" s="3"/>
      <c r="L95" s="3"/>
      <c r="M95" s="3"/>
      <c r="N95" s="11"/>
      <c r="O95" s="3"/>
      <c r="P95" s="3"/>
      <c r="Q95" s="32"/>
      <c r="R95" s="3"/>
      <c r="S95" s="3"/>
      <c r="T95" s="3"/>
      <c r="U95" s="48"/>
      <c r="V95" s="3"/>
      <c r="W95" s="3"/>
      <c r="X95" s="3"/>
      <c r="Y95" s="3"/>
      <c r="Z95" s="3"/>
      <c r="AA95" s="30"/>
      <c r="AB95" s="3"/>
    </row>
    <row r="96" spans="1:28" x14ac:dyDescent="0.25">
      <c r="A96" s="20" t="s">
        <v>8</v>
      </c>
      <c r="B96" s="3"/>
      <c r="C96" s="3"/>
      <c r="D96" s="11"/>
      <c r="E96" s="3"/>
      <c r="F96" s="3"/>
      <c r="G96" s="3"/>
      <c r="H96" s="30"/>
      <c r="I96" s="3"/>
      <c r="J96" s="3"/>
      <c r="K96" s="3"/>
      <c r="L96" s="3"/>
      <c r="M96" s="3"/>
      <c r="N96" s="11"/>
      <c r="O96" s="3"/>
      <c r="P96" s="3"/>
      <c r="Q96" s="32"/>
      <c r="R96" s="3"/>
      <c r="S96" s="3"/>
      <c r="T96" s="3"/>
      <c r="U96" s="48"/>
      <c r="V96" s="3"/>
      <c r="W96" s="3"/>
      <c r="X96" s="3"/>
      <c r="Y96" s="3"/>
      <c r="Z96" s="3"/>
      <c r="AA96" s="30"/>
      <c r="AB96" s="3"/>
    </row>
    <row r="97" spans="1:28" x14ac:dyDescent="0.25">
      <c r="A97" s="21" t="s">
        <v>113</v>
      </c>
      <c r="B97" s="3"/>
      <c r="C97" s="3">
        <v>6</v>
      </c>
      <c r="D97" s="11" t="s">
        <v>34</v>
      </c>
      <c r="E97" s="3"/>
      <c r="F97" s="3"/>
      <c r="G97" s="3"/>
      <c r="H97" s="30"/>
      <c r="I97" s="3"/>
      <c r="J97" s="3"/>
      <c r="K97" s="3"/>
      <c r="L97" s="3"/>
      <c r="M97" s="3"/>
      <c r="N97" s="11"/>
      <c r="O97" s="3"/>
      <c r="P97" s="3"/>
      <c r="Q97" s="32"/>
      <c r="R97" s="3"/>
      <c r="S97" s="3"/>
      <c r="T97" s="3"/>
      <c r="U97" s="48"/>
      <c r="V97" s="3"/>
      <c r="W97" s="3"/>
      <c r="X97" s="3"/>
      <c r="Y97" s="3"/>
      <c r="Z97" s="3"/>
      <c r="AA97" s="30"/>
      <c r="AB97" s="3"/>
    </row>
    <row r="98" spans="1:28" x14ac:dyDescent="0.25">
      <c r="A98" s="21"/>
      <c r="B98" s="3"/>
      <c r="C98" s="3"/>
      <c r="D98" s="11"/>
      <c r="E98" s="3"/>
      <c r="F98" s="3"/>
      <c r="G98" s="3"/>
      <c r="H98" s="30"/>
      <c r="I98" s="3"/>
      <c r="J98" s="3"/>
      <c r="K98" s="3"/>
      <c r="L98" s="3"/>
      <c r="M98" s="3"/>
      <c r="N98" s="11"/>
      <c r="O98" s="3"/>
      <c r="P98" s="3"/>
      <c r="Q98" s="32"/>
      <c r="R98" s="3"/>
      <c r="S98" s="3"/>
      <c r="T98" s="3"/>
      <c r="U98" s="48"/>
      <c r="V98" s="3"/>
      <c r="W98" s="3"/>
      <c r="X98" s="3"/>
      <c r="Y98" s="3"/>
      <c r="Z98" s="3"/>
      <c r="AA98" s="30"/>
      <c r="AB98" s="3"/>
    </row>
    <row r="99" spans="1:28" x14ac:dyDescent="0.25">
      <c r="A99" s="3"/>
      <c r="B99" s="3"/>
      <c r="C99" s="3"/>
      <c r="D99" s="11"/>
      <c r="E99" s="3"/>
      <c r="F99" s="3"/>
      <c r="G99" s="3"/>
      <c r="H99" s="30"/>
      <c r="I99" s="3"/>
      <c r="J99" s="3"/>
      <c r="K99" s="3"/>
      <c r="L99" s="3"/>
      <c r="M99" s="3"/>
      <c r="N99" s="11"/>
      <c r="O99" s="3"/>
      <c r="P99" s="3"/>
      <c r="Q99" s="32"/>
      <c r="R99" s="3"/>
      <c r="S99" s="3"/>
      <c r="T99" s="3"/>
      <c r="U99" s="48"/>
      <c r="V99" s="3"/>
      <c r="W99" s="3"/>
      <c r="X99" s="3"/>
      <c r="Y99" s="3"/>
      <c r="Z99" s="3"/>
      <c r="AA99" s="30"/>
      <c r="AB99" s="3"/>
    </row>
    <row r="100" spans="1:28" x14ac:dyDescent="0.25">
      <c r="A100" s="3"/>
      <c r="B100" s="3"/>
      <c r="C100" s="3"/>
      <c r="D100" s="11"/>
      <c r="E100" s="3"/>
      <c r="F100" s="3"/>
      <c r="G100" s="3"/>
      <c r="H100" s="30"/>
      <c r="I100" s="3"/>
      <c r="J100" s="3"/>
      <c r="K100" s="3"/>
      <c r="L100" s="3"/>
      <c r="M100" s="3"/>
      <c r="N100" s="11"/>
      <c r="O100" s="3"/>
      <c r="P100" s="3"/>
      <c r="Q100" s="32"/>
      <c r="R100" s="3"/>
      <c r="S100" s="3"/>
      <c r="T100" s="3"/>
      <c r="U100" s="48"/>
      <c r="V100" s="3"/>
      <c r="W100" s="3"/>
      <c r="X100" s="3"/>
      <c r="Y100" s="3"/>
      <c r="Z100" s="3"/>
      <c r="AA100" s="30"/>
      <c r="AB100" s="3"/>
    </row>
    <row r="101" spans="1:28" x14ac:dyDescent="0.25">
      <c r="A101" s="3"/>
      <c r="B101" s="3"/>
      <c r="C101" s="3"/>
      <c r="D101" s="11"/>
      <c r="E101" s="3"/>
      <c r="F101" s="3"/>
      <c r="G101" s="3"/>
      <c r="H101" s="37">
        <f>SUM(H59:H100)</f>
        <v>140700</v>
      </c>
      <c r="I101" s="3" t="s">
        <v>150</v>
      </c>
      <c r="J101" s="3"/>
      <c r="K101" s="3"/>
      <c r="L101" s="3"/>
      <c r="M101" s="3"/>
      <c r="N101" s="11"/>
      <c r="O101" s="3"/>
      <c r="P101" s="3"/>
      <c r="Q101" s="37">
        <f>SUM(Q57:Q100)</f>
        <v>205680</v>
      </c>
      <c r="R101" s="3"/>
      <c r="S101" s="3"/>
      <c r="T101" s="3"/>
      <c r="U101" s="3">
        <f>SUM(U57:U100)</f>
        <v>64980</v>
      </c>
      <c r="V101" s="3"/>
      <c r="W101" s="3"/>
      <c r="X101" s="3"/>
      <c r="Y101" s="3"/>
      <c r="Z101" s="3"/>
      <c r="AA101" s="37">
        <f>SUM(AA56:AA100)</f>
        <v>-82674</v>
      </c>
      <c r="AB101" s="3"/>
    </row>
    <row r="102" spans="1:28" x14ac:dyDescent="0.25">
      <c r="D102" s="46"/>
    </row>
    <row r="103" spans="1:28" x14ac:dyDescent="0.25">
      <c r="D103" s="46"/>
    </row>
    <row r="104" spans="1:28" x14ac:dyDescent="0.25">
      <c r="D104" s="46"/>
    </row>
    <row r="105" spans="1:28" x14ac:dyDescent="0.25">
      <c r="D105" s="46"/>
    </row>
    <row r="106" spans="1:28" x14ac:dyDescent="0.25">
      <c r="D106" s="46"/>
    </row>
    <row r="107" spans="1:28" x14ac:dyDescent="0.25">
      <c r="D107" s="46"/>
    </row>
    <row r="108" spans="1:28" x14ac:dyDescent="0.25">
      <c r="D108" s="46"/>
    </row>
    <row r="109" spans="1:28" x14ac:dyDescent="0.25">
      <c r="D109" s="46"/>
    </row>
    <row r="110" spans="1:28" x14ac:dyDescent="0.25">
      <c r="D110" s="46"/>
    </row>
    <row r="111" spans="1:28" x14ac:dyDescent="0.25">
      <c r="D111" s="46"/>
    </row>
    <row r="112" spans="1:28" x14ac:dyDescent="0.25">
      <c r="D112" s="46"/>
    </row>
    <row r="113" spans="4:4" x14ac:dyDescent="0.25">
      <c r="D113" s="46"/>
    </row>
    <row r="114" spans="4:4" x14ac:dyDescent="0.25">
      <c r="D114" s="46"/>
    </row>
    <row r="115" spans="4:4" x14ac:dyDescent="0.25">
      <c r="D115" s="46"/>
    </row>
    <row r="116" spans="4:4" x14ac:dyDescent="0.25">
      <c r="D116" s="46"/>
    </row>
    <row r="117" spans="4:4" x14ac:dyDescent="0.25">
      <c r="D117" s="46"/>
    </row>
    <row r="118" spans="4:4" x14ac:dyDescent="0.25">
      <c r="D118" s="46"/>
    </row>
    <row r="119" spans="4:4" x14ac:dyDescent="0.25">
      <c r="D119" s="46"/>
    </row>
    <row r="120" spans="4:4" x14ac:dyDescent="0.25">
      <c r="D120" s="46"/>
    </row>
    <row r="121" spans="4:4" x14ac:dyDescent="0.25">
      <c r="D121" s="46"/>
    </row>
    <row r="122" spans="4:4" x14ac:dyDescent="0.25">
      <c r="D122" s="46"/>
    </row>
    <row r="123" spans="4:4" x14ac:dyDescent="0.25">
      <c r="D123" s="46"/>
    </row>
    <row r="124" spans="4:4" x14ac:dyDescent="0.25">
      <c r="D124" s="46"/>
    </row>
    <row r="125" spans="4:4" x14ac:dyDescent="0.25">
      <c r="D125" s="46"/>
    </row>
    <row r="126" spans="4:4" x14ac:dyDescent="0.25">
      <c r="D126" s="46"/>
    </row>
    <row r="127" spans="4:4" x14ac:dyDescent="0.25">
      <c r="D127" s="46"/>
    </row>
    <row r="128" spans="4:4" x14ac:dyDescent="0.25">
      <c r="D128" s="46"/>
    </row>
    <row r="129" spans="4:4" x14ac:dyDescent="0.25">
      <c r="D129" s="46"/>
    </row>
    <row r="130" spans="4:4" x14ac:dyDescent="0.25">
      <c r="D130" s="46"/>
    </row>
    <row r="131" spans="4:4" x14ac:dyDescent="0.25">
      <c r="D131" s="46"/>
    </row>
    <row r="132" spans="4:4" x14ac:dyDescent="0.25">
      <c r="D132" s="46"/>
    </row>
    <row r="133" spans="4:4" x14ac:dyDescent="0.25">
      <c r="D133" s="46"/>
    </row>
    <row r="134" spans="4:4" x14ac:dyDescent="0.25">
      <c r="D134" s="46"/>
    </row>
    <row r="135" spans="4:4" x14ac:dyDescent="0.25">
      <c r="D135" s="46"/>
    </row>
    <row r="136" spans="4:4" x14ac:dyDescent="0.25">
      <c r="D136" s="46"/>
    </row>
    <row r="137" spans="4:4" x14ac:dyDescent="0.25">
      <c r="D137" s="46"/>
    </row>
    <row r="138" spans="4:4" x14ac:dyDescent="0.25">
      <c r="D138" s="46"/>
    </row>
    <row r="139" spans="4:4" x14ac:dyDescent="0.25">
      <c r="D139" s="46"/>
    </row>
    <row r="140" spans="4:4" x14ac:dyDescent="0.25">
      <c r="D140" s="46"/>
    </row>
    <row r="141" spans="4:4" x14ac:dyDescent="0.25">
      <c r="D141" s="46"/>
    </row>
    <row r="142" spans="4:4" x14ac:dyDescent="0.25">
      <c r="D142" s="46"/>
    </row>
    <row r="143" spans="4:4" x14ac:dyDescent="0.25">
      <c r="D143" s="46"/>
    </row>
    <row r="144" spans="4:4" x14ac:dyDescent="0.25">
      <c r="D144" s="46"/>
    </row>
    <row r="145" spans="4:4" x14ac:dyDescent="0.25">
      <c r="D145" s="46"/>
    </row>
    <row r="146" spans="4:4" x14ac:dyDescent="0.25">
      <c r="D146" s="46"/>
    </row>
    <row r="147" spans="4:4" x14ac:dyDescent="0.25">
      <c r="D147" s="46"/>
    </row>
    <row r="148" spans="4:4" x14ac:dyDescent="0.25">
      <c r="D148" s="46"/>
    </row>
    <row r="149" spans="4:4" x14ac:dyDescent="0.25">
      <c r="D149" s="46"/>
    </row>
    <row r="150" spans="4:4" x14ac:dyDescent="0.25">
      <c r="D150" s="46"/>
    </row>
    <row r="151" spans="4:4" x14ac:dyDescent="0.25">
      <c r="D151" s="46"/>
    </row>
    <row r="152" spans="4:4" x14ac:dyDescent="0.25">
      <c r="D152" s="46"/>
    </row>
    <row r="153" spans="4:4" x14ac:dyDescent="0.25">
      <c r="D153" s="46"/>
    </row>
    <row r="154" spans="4:4" x14ac:dyDescent="0.25">
      <c r="D154" s="46"/>
    </row>
    <row r="155" spans="4:4" x14ac:dyDescent="0.25">
      <c r="D155" s="46"/>
    </row>
    <row r="156" spans="4:4" x14ac:dyDescent="0.25">
      <c r="D156" s="46"/>
    </row>
    <row r="157" spans="4:4" x14ac:dyDescent="0.25">
      <c r="D157" s="46"/>
    </row>
    <row r="158" spans="4:4" x14ac:dyDescent="0.25">
      <c r="D158" s="46"/>
    </row>
    <row r="159" spans="4:4" x14ac:dyDescent="0.25">
      <c r="D159" s="46"/>
    </row>
    <row r="160" spans="4:4" x14ac:dyDescent="0.25">
      <c r="D160" s="46"/>
    </row>
    <row r="161" spans="4:4" x14ac:dyDescent="0.25">
      <c r="D161" s="46"/>
    </row>
    <row r="162" spans="4:4" x14ac:dyDescent="0.25">
      <c r="D162" s="46"/>
    </row>
    <row r="163" spans="4:4" x14ac:dyDescent="0.25">
      <c r="D163" s="46"/>
    </row>
    <row r="164" spans="4:4" x14ac:dyDescent="0.25">
      <c r="D164" s="46"/>
    </row>
    <row r="165" spans="4:4" x14ac:dyDescent="0.25">
      <c r="D165" s="46"/>
    </row>
    <row r="166" spans="4:4" x14ac:dyDescent="0.25">
      <c r="D166" s="46"/>
    </row>
    <row r="167" spans="4:4" x14ac:dyDescent="0.25">
      <c r="D167" s="46"/>
    </row>
    <row r="168" spans="4:4" x14ac:dyDescent="0.25">
      <c r="D168" s="46"/>
    </row>
    <row r="169" spans="4:4" x14ac:dyDescent="0.25">
      <c r="D169" s="46"/>
    </row>
    <row r="170" spans="4:4" x14ac:dyDescent="0.25">
      <c r="D170" s="46"/>
    </row>
    <row r="171" spans="4:4" x14ac:dyDescent="0.25">
      <c r="D171" s="46"/>
    </row>
    <row r="172" spans="4:4" x14ac:dyDescent="0.25">
      <c r="D172" s="46"/>
    </row>
    <row r="173" spans="4:4" x14ac:dyDescent="0.25">
      <c r="D173" s="46"/>
    </row>
    <row r="174" spans="4:4" x14ac:dyDescent="0.25">
      <c r="D174" s="46"/>
    </row>
    <row r="175" spans="4:4" x14ac:dyDescent="0.25">
      <c r="D175" s="46"/>
    </row>
    <row r="176" spans="4:4" x14ac:dyDescent="0.25">
      <c r="D176" s="46"/>
    </row>
    <row r="177" spans="4:4" x14ac:dyDescent="0.25">
      <c r="D177" s="46"/>
    </row>
    <row r="178" spans="4:4" x14ac:dyDescent="0.25">
      <c r="D178" s="46"/>
    </row>
    <row r="179" spans="4:4" x14ac:dyDescent="0.25">
      <c r="D179" s="46"/>
    </row>
    <row r="180" spans="4:4" x14ac:dyDescent="0.25">
      <c r="D180" s="46"/>
    </row>
    <row r="181" spans="4:4" x14ac:dyDescent="0.25">
      <c r="D181" s="46"/>
    </row>
  </sheetData>
  <mergeCells count="6">
    <mergeCell ref="Y3:Z3"/>
    <mergeCell ref="C2:F2"/>
    <mergeCell ref="S2:W2"/>
    <mergeCell ref="C3:D3"/>
    <mergeCell ref="G3:I3"/>
    <mergeCell ref="J3:P3"/>
  </mergeCells>
  <pageMargins left="0.70866141732283472" right="0.70866141732283472" top="0.74803149606299213" bottom="0.74803149606299213" header="0.31496062992125984" footer="0.31496062992125984"/>
  <pageSetup paperSize="8" scale="56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Sheet1</vt:lpstr>
      <vt:lpstr>Sheet1!Udskriftsområde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Hauge Smith</dc:creator>
  <cp:lastModifiedBy>Christine Vodsgaard Larsen</cp:lastModifiedBy>
  <cp:lastPrinted>2019-05-27T13:41:47Z</cp:lastPrinted>
  <dcterms:created xsi:type="dcterms:W3CDTF">2018-05-07T09:17:22Z</dcterms:created>
  <dcterms:modified xsi:type="dcterms:W3CDTF">2019-09-13T09:40:02Z</dcterms:modified>
</cp:coreProperties>
</file>